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3995" windowHeight="10230" activeTab="1"/>
  </bookViews>
  <sheets>
    <sheet name="Hoja1 (2)" sheetId="5" r:id="rId1"/>
    <sheet name="Análisis ok" sheetId="1" r:id="rId2"/>
    <sheet name="Análisis ok 1.1G" sheetId="6" r:id="rId3"/>
    <sheet name="Análisis ok 1.5G" sheetId="7" r:id="rId4"/>
    <sheet name="Análisis ok 3G" sheetId="10" r:id="rId5"/>
    <sheet name="Análisis ok 6G" sheetId="8" r:id="rId6"/>
    <sheet name="Hoja4" sheetId="9" r:id="rId7"/>
  </sheets>
  <definedNames>
    <definedName name="_xlnm.Print_Area" localSheetId="1">'Análisis ok'!$A$1:$G$343</definedName>
    <definedName name="_xlnm.Print_Area" localSheetId="2">'Análisis ok 1.1G'!$A$1:$G$343</definedName>
    <definedName name="_xlnm.Print_Area" localSheetId="3">'Análisis ok 1.5G'!$A$1:$G$343</definedName>
    <definedName name="_xlnm.Print_Area" localSheetId="4">'Análisis ok 3G'!$A$1:$G$343</definedName>
    <definedName name="_xlnm.Print_Area" localSheetId="5">'Análisis ok 6G'!$A$1:$G$343</definedName>
    <definedName name="_xlnm.Print_Area" localSheetId="0">'Hoja1 (2)'!$A$1:$G$343</definedName>
  </definedNames>
  <calcPr calcId="124519"/>
</workbook>
</file>

<file path=xl/calcChain.xml><?xml version="1.0" encoding="utf-8"?>
<calcChain xmlns="http://schemas.openxmlformats.org/spreadsheetml/2006/main">
  <c r="F11" i="9"/>
  <c r="F12"/>
  <c r="F10"/>
  <c r="F8"/>
  <c r="F9"/>
  <c r="F7"/>
  <c r="H44" i="10"/>
  <c r="C294"/>
  <c r="C288"/>
  <c r="C287"/>
  <c r="C282"/>
  <c r="B282"/>
  <c r="B288" s="1"/>
  <c r="E288" s="1"/>
  <c r="B276"/>
  <c r="B275"/>
  <c r="C241"/>
  <c r="C220"/>
  <c r="C222" s="1"/>
  <c r="E222" s="1"/>
  <c r="B220"/>
  <c r="B216"/>
  <c r="C281" s="1"/>
  <c r="E202"/>
  <c r="E201"/>
  <c r="E200"/>
  <c r="E199"/>
  <c r="C198"/>
  <c r="C160"/>
  <c r="B160"/>
  <c r="A160"/>
  <c r="G159"/>
  <c r="B158"/>
  <c r="B164" s="1"/>
  <c r="E157"/>
  <c r="C157"/>
  <c r="B163" s="1"/>
  <c r="G156"/>
  <c r="E156"/>
  <c r="E155"/>
  <c r="D139"/>
  <c r="C109"/>
  <c r="B47"/>
  <c r="B46"/>
  <c r="F147" s="1"/>
  <c r="H46"/>
  <c r="E43"/>
  <c r="E40"/>
  <c r="B40"/>
  <c r="B41" s="1"/>
  <c r="G305" s="1"/>
  <c r="G321" s="1"/>
  <c r="D39"/>
  <c r="B39"/>
  <c r="B219" s="1"/>
  <c r="F38"/>
  <c r="B37"/>
  <c r="F36"/>
  <c r="D38" s="1"/>
  <c r="D36"/>
  <c r="G46" s="1"/>
  <c r="G11" i="9"/>
  <c r="G12"/>
  <c r="G10"/>
  <c r="G8"/>
  <c r="G9"/>
  <c r="G7"/>
  <c r="E11"/>
  <c r="E12"/>
  <c r="E10"/>
  <c r="E8"/>
  <c r="E9"/>
  <c r="E7"/>
  <c r="D11"/>
  <c r="D12"/>
  <c r="D10"/>
  <c r="D8"/>
  <c r="D9"/>
  <c r="D7"/>
  <c r="C11"/>
  <c r="C12"/>
  <c r="C10"/>
  <c r="C8"/>
  <c r="C9"/>
  <c r="C7"/>
  <c r="B8"/>
  <c r="B9"/>
  <c r="B10"/>
  <c r="B11"/>
  <c r="B12"/>
  <c r="B7"/>
  <c r="H44" i="8"/>
  <c r="C294"/>
  <c r="C288"/>
  <c r="C287"/>
  <c r="C282"/>
  <c r="B282"/>
  <c r="B288" s="1"/>
  <c r="E288" s="1"/>
  <c r="B276"/>
  <c r="B275"/>
  <c r="C241"/>
  <c r="C220"/>
  <c r="C222" s="1"/>
  <c r="E222" s="1"/>
  <c r="B220"/>
  <c r="B216"/>
  <c r="C281" s="1"/>
  <c r="E202"/>
  <c r="E201"/>
  <c r="E200"/>
  <c r="E199"/>
  <c r="C198"/>
  <c r="C160"/>
  <c r="B160"/>
  <c r="A160"/>
  <c r="G159"/>
  <c r="B158"/>
  <c r="B164" s="1"/>
  <c r="E157"/>
  <c r="C157"/>
  <c r="B163" s="1"/>
  <c r="G156"/>
  <c r="E156"/>
  <c r="E155"/>
  <c r="D139"/>
  <c r="C109"/>
  <c r="B47"/>
  <c r="B46"/>
  <c r="F147" s="1"/>
  <c r="H46"/>
  <c r="E43"/>
  <c r="E40"/>
  <c r="B40"/>
  <c r="B41" s="1"/>
  <c r="G305" s="1"/>
  <c r="G321" s="1"/>
  <c r="D39"/>
  <c r="B39"/>
  <c r="B219" s="1"/>
  <c r="F38"/>
  <c r="B37"/>
  <c r="F36"/>
  <c r="D38" s="1"/>
  <c r="D36"/>
  <c r="G46" s="1"/>
  <c r="H44" i="7"/>
  <c r="C294"/>
  <c r="C288"/>
  <c r="C287"/>
  <c r="C282"/>
  <c r="B282"/>
  <c r="B288" s="1"/>
  <c r="E288" s="1"/>
  <c r="B276"/>
  <c r="B275"/>
  <c r="C241"/>
  <c r="C220"/>
  <c r="C222" s="1"/>
  <c r="E222" s="1"/>
  <c r="B220"/>
  <c r="B216"/>
  <c r="C281" s="1"/>
  <c r="E202"/>
  <c r="E201"/>
  <c r="E200"/>
  <c r="E199"/>
  <c r="C198"/>
  <c r="C160"/>
  <c r="B160"/>
  <c r="A160"/>
  <c r="G159"/>
  <c r="B158"/>
  <c r="B164" s="1"/>
  <c r="E157"/>
  <c r="C157"/>
  <c r="B163" s="1"/>
  <c r="G156"/>
  <c r="E156"/>
  <c r="E155"/>
  <c r="D139"/>
  <c r="C109"/>
  <c r="B47"/>
  <c r="B46"/>
  <c r="F147" s="1"/>
  <c r="H46"/>
  <c r="E43"/>
  <c r="E40"/>
  <c r="B40"/>
  <c r="B41" s="1"/>
  <c r="G305" s="1"/>
  <c r="G321" s="1"/>
  <c r="D39"/>
  <c r="B39"/>
  <c r="B219" s="1"/>
  <c r="F38"/>
  <c r="B37"/>
  <c r="F36"/>
  <c r="D38" s="1"/>
  <c r="D36"/>
  <c r="G46" s="1"/>
  <c r="H44" i="6"/>
  <c r="C294"/>
  <c r="C288"/>
  <c r="C287"/>
  <c r="C282"/>
  <c r="B282"/>
  <c r="B288" s="1"/>
  <c r="E288" s="1"/>
  <c r="B276"/>
  <c r="B275"/>
  <c r="C241"/>
  <c r="C220"/>
  <c r="C222" s="1"/>
  <c r="E222" s="1"/>
  <c r="B220"/>
  <c r="B216"/>
  <c r="C281" s="1"/>
  <c r="E202"/>
  <c r="E201"/>
  <c r="E200"/>
  <c r="E199"/>
  <c r="C198"/>
  <c r="C160"/>
  <c r="B160"/>
  <c r="A160"/>
  <c r="G159"/>
  <c r="B158"/>
  <c r="B164" s="1"/>
  <c r="E157"/>
  <c r="C157"/>
  <c r="B163" s="1"/>
  <c r="G156"/>
  <c r="E156"/>
  <c r="E155"/>
  <c r="D139"/>
  <c r="C109"/>
  <c r="B47"/>
  <c r="B46"/>
  <c r="F147" s="1"/>
  <c r="E43"/>
  <c r="E40"/>
  <c r="B40"/>
  <c r="B41" s="1"/>
  <c r="G305" s="1"/>
  <c r="G321" s="1"/>
  <c r="D39"/>
  <c r="B39"/>
  <c r="B219" s="1"/>
  <c r="F38"/>
  <c r="B37"/>
  <c r="F36"/>
  <c r="D38" s="1"/>
  <c r="D36"/>
  <c r="G46" s="1"/>
  <c r="C294" i="5"/>
  <c r="C288"/>
  <c r="C287"/>
  <c r="C282"/>
  <c r="B282"/>
  <c r="B288" s="1"/>
  <c r="E288" s="1"/>
  <c r="B276"/>
  <c r="B275"/>
  <c r="C241"/>
  <c r="C220"/>
  <c r="C222" s="1"/>
  <c r="E222" s="1"/>
  <c r="B220"/>
  <c r="B216"/>
  <c r="C281" s="1"/>
  <c r="E202"/>
  <c r="E201"/>
  <c r="E200"/>
  <c r="E199"/>
  <c r="C198"/>
  <c r="C160"/>
  <c r="B160"/>
  <c r="A160"/>
  <c r="G159"/>
  <c r="B158"/>
  <c r="B164" s="1"/>
  <c r="E157"/>
  <c r="C157"/>
  <c r="B163" s="1"/>
  <c r="G156"/>
  <c r="E156"/>
  <c r="E155"/>
  <c r="D139"/>
  <c r="C109"/>
  <c r="B47"/>
  <c r="B46"/>
  <c r="F147" s="1"/>
  <c r="E43"/>
  <c r="E40"/>
  <c r="B40"/>
  <c r="B41" s="1"/>
  <c r="G305" s="1"/>
  <c r="G321" s="1"/>
  <c r="D39"/>
  <c r="B39"/>
  <c r="B219" s="1"/>
  <c r="F38"/>
  <c r="B37"/>
  <c r="F36"/>
  <c r="D38" s="1"/>
  <c r="D36"/>
  <c r="G46" s="1"/>
  <c r="B276" i="1"/>
  <c r="B275"/>
  <c r="C241"/>
  <c r="C294"/>
  <c r="C287"/>
  <c r="B282"/>
  <c r="B288"/>
  <c r="C288"/>
  <c r="E288"/>
  <c r="C282"/>
  <c r="E282"/>
  <c r="C220"/>
  <c r="C222" s="1"/>
  <c r="E222" s="1"/>
  <c r="B220"/>
  <c r="E220" s="1"/>
  <c r="B216"/>
  <c r="B221" s="1"/>
  <c r="E200"/>
  <c r="E201"/>
  <c r="E202"/>
  <c r="E199"/>
  <c r="C198"/>
  <c r="B160"/>
  <c r="C160"/>
  <c r="G159" s="1"/>
  <c r="A160"/>
  <c r="E156"/>
  <c r="B158"/>
  <c r="E155" s="1"/>
  <c r="C157"/>
  <c r="C158" s="1"/>
  <c r="G155" s="1"/>
  <c r="B46"/>
  <c r="F147" s="1"/>
  <c r="D139"/>
  <c r="C109"/>
  <c r="F38"/>
  <c r="E40"/>
  <c r="B40"/>
  <c r="B41" s="1"/>
  <c r="G305" s="1"/>
  <c r="B39"/>
  <c r="D36"/>
  <c r="F37" s="1"/>
  <c r="D39"/>
  <c r="F36"/>
  <c r="D38" s="1"/>
  <c r="G130" s="1"/>
  <c r="F39"/>
  <c r="B37"/>
  <c r="D37"/>
  <c r="B38"/>
  <c r="B100" s="1"/>
  <c r="B51"/>
  <c r="E43"/>
  <c r="E44" s="1"/>
  <c r="B47"/>
  <c r="G46" s="1"/>
  <c r="C89" s="1"/>
  <c r="C63"/>
  <c r="C89" i="10" l="1"/>
  <c r="C88"/>
  <c r="B281"/>
  <c r="F321"/>
  <c r="E321"/>
  <c r="D321"/>
  <c r="D328" s="1"/>
  <c r="C321"/>
  <c r="B321"/>
  <c r="G320"/>
  <c r="E320"/>
  <c r="D320"/>
  <c r="C320"/>
  <c r="C327" s="1"/>
  <c r="B320"/>
  <c r="G319"/>
  <c r="F319"/>
  <c r="D319"/>
  <c r="C319"/>
  <c r="B319"/>
  <c r="B326" s="1"/>
  <c r="G318"/>
  <c r="G325" s="1"/>
  <c r="F318"/>
  <c r="E318"/>
  <c r="C318"/>
  <c r="C325" s="1"/>
  <c r="B318"/>
  <c r="B325" s="1"/>
  <c r="G317"/>
  <c r="F317"/>
  <c r="F324" s="1"/>
  <c r="E317"/>
  <c r="D317"/>
  <c r="D324" s="1"/>
  <c r="B317"/>
  <c r="B324" s="1"/>
  <c r="G316"/>
  <c r="F316"/>
  <c r="E316"/>
  <c r="E323" s="1"/>
  <c r="D316"/>
  <c r="D323" s="1"/>
  <c r="C316"/>
  <c r="C323" s="1"/>
  <c r="D240"/>
  <c r="D37"/>
  <c r="F37"/>
  <c r="E130" s="1"/>
  <c r="B38"/>
  <c r="F39"/>
  <c r="E44"/>
  <c r="C111"/>
  <c r="B113" s="1"/>
  <c r="B117"/>
  <c r="B118"/>
  <c r="B126"/>
  <c r="B127"/>
  <c r="B137"/>
  <c r="C158"/>
  <c r="B159"/>
  <c r="E220"/>
  <c r="B221"/>
  <c r="F288"/>
  <c r="E282"/>
  <c r="F282" s="1"/>
  <c r="C89" i="8"/>
  <c r="C88"/>
  <c r="B281"/>
  <c r="F321"/>
  <c r="E321"/>
  <c r="D321"/>
  <c r="D328" s="1"/>
  <c r="C321"/>
  <c r="B321"/>
  <c r="G320"/>
  <c r="E320"/>
  <c r="D320"/>
  <c r="C320"/>
  <c r="C327" s="1"/>
  <c r="B320"/>
  <c r="G319"/>
  <c r="F319"/>
  <c r="D319"/>
  <c r="C319"/>
  <c r="B319"/>
  <c r="B326" s="1"/>
  <c r="G318"/>
  <c r="G325" s="1"/>
  <c r="F318"/>
  <c r="E318"/>
  <c r="C318"/>
  <c r="C325" s="1"/>
  <c r="B318"/>
  <c r="B325" s="1"/>
  <c r="G317"/>
  <c r="F317"/>
  <c r="F324" s="1"/>
  <c r="E317"/>
  <c r="D317"/>
  <c r="D324" s="1"/>
  <c r="B317"/>
  <c r="B324" s="1"/>
  <c r="G316"/>
  <c r="F316"/>
  <c r="E316"/>
  <c r="E323" s="1"/>
  <c r="D316"/>
  <c r="D323" s="1"/>
  <c r="C316"/>
  <c r="C323" s="1"/>
  <c r="D240"/>
  <c r="D37"/>
  <c r="F37"/>
  <c r="E130" s="1"/>
  <c r="B38"/>
  <c r="F39"/>
  <c r="E44"/>
  <c r="C111"/>
  <c r="B113" s="1"/>
  <c r="B117"/>
  <c r="B118"/>
  <c r="B126"/>
  <c r="B127"/>
  <c r="B137"/>
  <c r="C158"/>
  <c r="B159"/>
  <c r="E220"/>
  <c r="B221"/>
  <c r="F288"/>
  <c r="E282"/>
  <c r="F282" s="1"/>
  <c r="C89" i="7"/>
  <c r="C88"/>
  <c r="B281"/>
  <c r="F321"/>
  <c r="E321"/>
  <c r="D321"/>
  <c r="D328" s="1"/>
  <c r="C321"/>
  <c r="B321"/>
  <c r="G320"/>
  <c r="E320"/>
  <c r="D320"/>
  <c r="C320"/>
  <c r="C327" s="1"/>
  <c r="B320"/>
  <c r="G319"/>
  <c r="F319"/>
  <c r="D319"/>
  <c r="C319"/>
  <c r="B319"/>
  <c r="B326" s="1"/>
  <c r="G318"/>
  <c r="G325" s="1"/>
  <c r="F318"/>
  <c r="E318"/>
  <c r="C318"/>
  <c r="C325" s="1"/>
  <c r="B318"/>
  <c r="B325" s="1"/>
  <c r="G317"/>
  <c r="F317"/>
  <c r="F324" s="1"/>
  <c r="E317"/>
  <c r="D317"/>
  <c r="D324" s="1"/>
  <c r="B317"/>
  <c r="B324" s="1"/>
  <c r="G316"/>
  <c r="F316"/>
  <c r="E316"/>
  <c r="E323" s="1"/>
  <c r="D316"/>
  <c r="D323" s="1"/>
  <c r="C316"/>
  <c r="C323" s="1"/>
  <c r="D240"/>
  <c r="D37"/>
  <c r="F37"/>
  <c r="E130" s="1"/>
  <c r="B38"/>
  <c r="F39"/>
  <c r="E44"/>
  <c r="C111"/>
  <c r="B113" s="1"/>
  <c r="B117"/>
  <c r="B118"/>
  <c r="B126"/>
  <c r="B127"/>
  <c r="B137"/>
  <c r="C158"/>
  <c r="B159"/>
  <c r="E220"/>
  <c r="B221"/>
  <c r="F288"/>
  <c r="E282"/>
  <c r="F282" s="1"/>
  <c r="C89" i="6"/>
  <c r="C88"/>
  <c r="B281"/>
  <c r="F321"/>
  <c r="E321"/>
  <c r="D321"/>
  <c r="D328" s="1"/>
  <c r="C321"/>
  <c r="B321"/>
  <c r="G320"/>
  <c r="E320"/>
  <c r="D320"/>
  <c r="C320"/>
  <c r="C327" s="1"/>
  <c r="B320"/>
  <c r="G319"/>
  <c r="F319"/>
  <c r="D319"/>
  <c r="C319"/>
  <c r="B319"/>
  <c r="B326" s="1"/>
  <c r="G318"/>
  <c r="G325" s="1"/>
  <c r="F318"/>
  <c r="E318"/>
  <c r="C318"/>
  <c r="C325" s="1"/>
  <c r="B318"/>
  <c r="B325" s="1"/>
  <c r="G317"/>
  <c r="F317"/>
  <c r="F324" s="1"/>
  <c r="E317"/>
  <c r="D317"/>
  <c r="D324" s="1"/>
  <c r="B317"/>
  <c r="B324" s="1"/>
  <c r="G316"/>
  <c r="F316"/>
  <c r="E316"/>
  <c r="E323" s="1"/>
  <c r="D316"/>
  <c r="D323" s="1"/>
  <c r="C316"/>
  <c r="C323" s="1"/>
  <c r="D240"/>
  <c r="D37"/>
  <c r="F37"/>
  <c r="E130" s="1"/>
  <c r="B38"/>
  <c r="F39"/>
  <c r="E44"/>
  <c r="H46" s="1"/>
  <c r="C111"/>
  <c r="B113" s="1"/>
  <c r="B117"/>
  <c r="B118"/>
  <c r="B126"/>
  <c r="B127"/>
  <c r="B137"/>
  <c r="C158"/>
  <c r="B159"/>
  <c r="E220"/>
  <c r="B221"/>
  <c r="F288"/>
  <c r="E282"/>
  <c r="F282" s="1"/>
  <c r="C89" i="5"/>
  <c r="C88"/>
  <c r="B281"/>
  <c r="F321"/>
  <c r="E321"/>
  <c r="D321"/>
  <c r="D328" s="1"/>
  <c r="C321"/>
  <c r="B321"/>
  <c r="G320"/>
  <c r="E320"/>
  <c r="D320"/>
  <c r="C320"/>
  <c r="C327" s="1"/>
  <c r="B320"/>
  <c r="G319"/>
  <c r="F319"/>
  <c r="D319"/>
  <c r="C319"/>
  <c r="B319"/>
  <c r="B326" s="1"/>
  <c r="G318"/>
  <c r="G325" s="1"/>
  <c r="F318"/>
  <c r="E318"/>
  <c r="C318"/>
  <c r="C325" s="1"/>
  <c r="B318"/>
  <c r="B325" s="1"/>
  <c r="G317"/>
  <c r="F317"/>
  <c r="F324" s="1"/>
  <c r="E317"/>
  <c r="D317"/>
  <c r="D324" s="1"/>
  <c r="B317"/>
  <c r="B324" s="1"/>
  <c r="G316"/>
  <c r="F316"/>
  <c r="E316"/>
  <c r="E323" s="1"/>
  <c r="D316"/>
  <c r="D323" s="1"/>
  <c r="C316"/>
  <c r="C323" s="1"/>
  <c r="D240"/>
  <c r="D37"/>
  <c r="F37"/>
  <c r="E130" s="1"/>
  <c r="B38"/>
  <c r="F39"/>
  <c r="E44"/>
  <c r="C111"/>
  <c r="B113" s="1"/>
  <c r="B117"/>
  <c r="B118"/>
  <c r="B126"/>
  <c r="B127"/>
  <c r="B137"/>
  <c r="C158"/>
  <c r="B159"/>
  <c r="E220"/>
  <c r="B221"/>
  <c r="F288"/>
  <c r="E282"/>
  <c r="F282" s="1"/>
  <c r="B219" i="1"/>
  <c r="B225" s="1"/>
  <c r="G321"/>
  <c r="G316"/>
  <c r="F316"/>
  <c r="E316"/>
  <c r="E323" s="1"/>
  <c r="D316"/>
  <c r="D323" s="1"/>
  <c r="C316"/>
  <c r="C323" s="1"/>
  <c r="F321"/>
  <c r="E321"/>
  <c r="D321"/>
  <c r="D328" s="1"/>
  <c r="C321"/>
  <c r="B321"/>
  <c r="G320"/>
  <c r="E320"/>
  <c r="D320"/>
  <c r="C320"/>
  <c r="C327" s="1"/>
  <c r="B320"/>
  <c r="G319"/>
  <c r="F319"/>
  <c r="D319"/>
  <c r="C319"/>
  <c r="B319"/>
  <c r="B326" s="1"/>
  <c r="G318"/>
  <c r="G325" s="1"/>
  <c r="F318"/>
  <c r="E318"/>
  <c r="C318"/>
  <c r="C325" s="1"/>
  <c r="B318"/>
  <c r="B325" s="1"/>
  <c r="G317"/>
  <c r="F317"/>
  <c r="F324" s="1"/>
  <c r="E317"/>
  <c r="D317"/>
  <c r="D324" s="1"/>
  <c r="B317"/>
  <c r="B324" s="1"/>
  <c r="F288"/>
  <c r="F282"/>
  <c r="C281"/>
  <c r="B281"/>
  <c r="B283" s="1"/>
  <c r="C297" s="1"/>
  <c r="D240"/>
  <c r="B247" s="1"/>
  <c r="G156"/>
  <c r="G157"/>
  <c r="G158"/>
  <c r="B164"/>
  <c r="B163"/>
  <c r="B165"/>
  <c r="B159"/>
  <c r="E157"/>
  <c r="E158"/>
  <c r="C221" s="1"/>
  <c r="E221" s="1"/>
  <c r="B122"/>
  <c r="E130"/>
  <c r="E129"/>
  <c r="G129"/>
  <c r="F139"/>
  <c r="F140"/>
  <c r="B129"/>
  <c r="B121"/>
  <c r="B130"/>
  <c r="B138"/>
  <c r="B137"/>
  <c r="B117"/>
  <c r="B118"/>
  <c r="B126"/>
  <c r="B127"/>
  <c r="C111"/>
  <c r="B113" s="1"/>
  <c r="C86"/>
  <c r="F86" s="1"/>
  <c r="F89" s="1"/>
  <c r="D92" s="1"/>
  <c r="B99"/>
  <c r="D100" s="1"/>
  <c r="B96"/>
  <c r="C88"/>
  <c r="C85"/>
  <c r="F85" s="1"/>
  <c r="F88" s="1"/>
  <c r="B52"/>
  <c r="F63"/>
  <c r="B166" i="10" l="1"/>
  <c r="E159"/>
  <c r="B165"/>
  <c r="G158"/>
  <c r="G155"/>
  <c r="B96"/>
  <c r="F96" s="1"/>
  <c r="C86"/>
  <c r="F86" s="1"/>
  <c r="F89" s="1"/>
  <c r="C85"/>
  <c r="F85" s="1"/>
  <c r="F88" s="1"/>
  <c r="C63"/>
  <c r="F63" s="1"/>
  <c r="B51"/>
  <c r="B52" s="1"/>
  <c r="F139"/>
  <c r="B100"/>
  <c r="B99"/>
  <c r="D100" s="1"/>
  <c r="F102" s="1"/>
  <c r="B122"/>
  <c r="B121"/>
  <c r="B273"/>
  <c r="B272"/>
  <c r="C267"/>
  <c r="B267"/>
  <c r="D267" s="1"/>
  <c r="C266"/>
  <c r="B266"/>
  <c r="D266" s="1"/>
  <c r="C265"/>
  <c r="B265"/>
  <c r="D265" s="1"/>
  <c r="C264"/>
  <c r="B264"/>
  <c r="D264" s="1"/>
  <c r="C263"/>
  <c r="B263"/>
  <c r="D263" s="1"/>
  <c r="C262"/>
  <c r="B262"/>
  <c r="D262" s="1"/>
  <c r="C261"/>
  <c r="B261"/>
  <c r="D261" s="1"/>
  <c r="C260"/>
  <c r="B260"/>
  <c r="D260" s="1"/>
  <c r="C259"/>
  <c r="B259"/>
  <c r="D259" s="1"/>
  <c r="C258"/>
  <c r="B258"/>
  <c r="D258" s="1"/>
  <c r="C257"/>
  <c r="B257"/>
  <c r="D257" s="1"/>
  <c r="C256"/>
  <c r="B256"/>
  <c r="D256" s="1"/>
  <c r="C255"/>
  <c r="B255"/>
  <c r="D255" s="1"/>
  <c r="C254"/>
  <c r="B254"/>
  <c r="D254" s="1"/>
  <c r="C253"/>
  <c r="B253"/>
  <c r="D253" s="1"/>
  <c r="C252"/>
  <c r="B252"/>
  <c r="D252" s="1"/>
  <c r="C251"/>
  <c r="B251"/>
  <c r="D251" s="1"/>
  <c r="C250"/>
  <c r="B250"/>
  <c r="D250" s="1"/>
  <c r="C249"/>
  <c r="B249"/>
  <c r="D249" s="1"/>
  <c r="C248"/>
  <c r="B248"/>
  <c r="D248" s="1"/>
  <c r="C247"/>
  <c r="B247"/>
  <c r="D247" s="1"/>
  <c r="B287"/>
  <c r="B283"/>
  <c r="C297" s="1"/>
  <c r="E281"/>
  <c r="F281" s="1"/>
  <c r="F283" s="1"/>
  <c r="E303" s="1"/>
  <c r="E319" s="1"/>
  <c r="E158"/>
  <c r="C221" s="1"/>
  <c r="E221" s="1"/>
  <c r="G157"/>
  <c r="B138"/>
  <c r="C141" s="1"/>
  <c r="G130"/>
  <c r="B225"/>
  <c r="E129"/>
  <c r="B129" s="1"/>
  <c r="E132" s="1"/>
  <c r="G129"/>
  <c r="B130" s="1"/>
  <c r="E133" s="1"/>
  <c r="F140"/>
  <c r="B166" i="8"/>
  <c r="E159"/>
  <c r="B165"/>
  <c r="G158"/>
  <c r="G155"/>
  <c r="B96"/>
  <c r="F96" s="1"/>
  <c r="C86"/>
  <c r="F86" s="1"/>
  <c r="F89" s="1"/>
  <c r="C85"/>
  <c r="F85" s="1"/>
  <c r="F88" s="1"/>
  <c r="C63"/>
  <c r="F63" s="1"/>
  <c r="B51"/>
  <c r="B52" s="1"/>
  <c r="F139"/>
  <c r="B100"/>
  <c r="B99"/>
  <c r="D100" s="1"/>
  <c r="F102" s="1"/>
  <c r="B122"/>
  <c r="B121"/>
  <c r="B273"/>
  <c r="B272"/>
  <c r="C267"/>
  <c r="B267"/>
  <c r="D267" s="1"/>
  <c r="C266"/>
  <c r="B266"/>
  <c r="D266" s="1"/>
  <c r="C265"/>
  <c r="B265"/>
  <c r="D265" s="1"/>
  <c r="C264"/>
  <c r="B264"/>
  <c r="D264" s="1"/>
  <c r="C263"/>
  <c r="B263"/>
  <c r="D263" s="1"/>
  <c r="C262"/>
  <c r="B262"/>
  <c r="D262" s="1"/>
  <c r="C261"/>
  <c r="B261"/>
  <c r="D261" s="1"/>
  <c r="C260"/>
  <c r="B260"/>
  <c r="D260" s="1"/>
  <c r="C259"/>
  <c r="B259"/>
  <c r="D259" s="1"/>
  <c r="C258"/>
  <c r="B258"/>
  <c r="D258" s="1"/>
  <c r="C257"/>
  <c r="B257"/>
  <c r="D257" s="1"/>
  <c r="C256"/>
  <c r="B256"/>
  <c r="D256" s="1"/>
  <c r="C255"/>
  <c r="B255"/>
  <c r="D255" s="1"/>
  <c r="C254"/>
  <c r="B254"/>
  <c r="D254" s="1"/>
  <c r="C253"/>
  <c r="B253"/>
  <c r="D253" s="1"/>
  <c r="C252"/>
  <c r="B252"/>
  <c r="D252" s="1"/>
  <c r="C251"/>
  <c r="B251"/>
  <c r="D251" s="1"/>
  <c r="C250"/>
  <c r="B250"/>
  <c r="D250" s="1"/>
  <c r="C249"/>
  <c r="B249"/>
  <c r="D249" s="1"/>
  <c r="C248"/>
  <c r="B248"/>
  <c r="D248" s="1"/>
  <c r="C247"/>
  <c r="B247"/>
  <c r="D247" s="1"/>
  <c r="B287"/>
  <c r="B283"/>
  <c r="C297" s="1"/>
  <c r="E281"/>
  <c r="F281" s="1"/>
  <c r="F283" s="1"/>
  <c r="E303" s="1"/>
  <c r="E319" s="1"/>
  <c r="E158"/>
  <c r="C221" s="1"/>
  <c r="E221" s="1"/>
  <c r="G157"/>
  <c r="B138"/>
  <c r="C141" s="1"/>
  <c r="G130"/>
  <c r="B225"/>
  <c r="E129"/>
  <c r="B129" s="1"/>
  <c r="E132" s="1"/>
  <c r="G129"/>
  <c r="B130" s="1"/>
  <c r="E133" s="1"/>
  <c r="F140"/>
  <c r="B166" i="7"/>
  <c r="E159"/>
  <c r="B165"/>
  <c r="G158"/>
  <c r="G155"/>
  <c r="B96"/>
  <c r="F96" s="1"/>
  <c r="C86"/>
  <c r="F86" s="1"/>
  <c r="F89" s="1"/>
  <c r="C85"/>
  <c r="F85" s="1"/>
  <c r="F88" s="1"/>
  <c r="C63"/>
  <c r="F63" s="1"/>
  <c r="B51"/>
  <c r="B52" s="1"/>
  <c r="F139"/>
  <c r="B100"/>
  <c r="B99"/>
  <c r="D100" s="1"/>
  <c r="F102" s="1"/>
  <c r="B122"/>
  <c r="B121"/>
  <c r="B273"/>
  <c r="B272"/>
  <c r="C267"/>
  <c r="B267"/>
  <c r="D267" s="1"/>
  <c r="C266"/>
  <c r="B266"/>
  <c r="D266" s="1"/>
  <c r="C265"/>
  <c r="B265"/>
  <c r="D265" s="1"/>
  <c r="C264"/>
  <c r="B264"/>
  <c r="D264" s="1"/>
  <c r="C263"/>
  <c r="B263"/>
  <c r="D263" s="1"/>
  <c r="C262"/>
  <c r="B262"/>
  <c r="D262" s="1"/>
  <c r="C261"/>
  <c r="B261"/>
  <c r="D261" s="1"/>
  <c r="C260"/>
  <c r="B260"/>
  <c r="D260" s="1"/>
  <c r="C259"/>
  <c r="B259"/>
  <c r="D259" s="1"/>
  <c r="C258"/>
  <c r="B258"/>
  <c r="D258" s="1"/>
  <c r="C257"/>
  <c r="B257"/>
  <c r="D257" s="1"/>
  <c r="C256"/>
  <c r="B256"/>
  <c r="D256" s="1"/>
  <c r="C255"/>
  <c r="B255"/>
  <c r="D255" s="1"/>
  <c r="C254"/>
  <c r="B254"/>
  <c r="D254" s="1"/>
  <c r="C253"/>
  <c r="B253"/>
  <c r="D253" s="1"/>
  <c r="C252"/>
  <c r="B252"/>
  <c r="D252" s="1"/>
  <c r="C251"/>
  <c r="B251"/>
  <c r="D251" s="1"/>
  <c r="C250"/>
  <c r="B250"/>
  <c r="D250" s="1"/>
  <c r="C249"/>
  <c r="B249"/>
  <c r="D249" s="1"/>
  <c r="C248"/>
  <c r="B248"/>
  <c r="D248" s="1"/>
  <c r="C247"/>
  <c r="B247"/>
  <c r="D247" s="1"/>
  <c r="B287"/>
  <c r="B283"/>
  <c r="C297" s="1"/>
  <c r="E281"/>
  <c r="F281" s="1"/>
  <c r="F283" s="1"/>
  <c r="E303" s="1"/>
  <c r="E319" s="1"/>
  <c r="E158"/>
  <c r="C221" s="1"/>
  <c r="E221" s="1"/>
  <c r="G157"/>
  <c r="B138"/>
  <c r="C141" s="1"/>
  <c r="G130"/>
  <c r="B225"/>
  <c r="E129"/>
  <c r="B129" s="1"/>
  <c r="E132" s="1"/>
  <c r="G129"/>
  <c r="B130" s="1"/>
  <c r="E133" s="1"/>
  <c r="F140"/>
  <c r="B166" i="6"/>
  <c r="E159"/>
  <c r="B165"/>
  <c r="G158"/>
  <c r="G155"/>
  <c r="B96"/>
  <c r="F96" s="1"/>
  <c r="C86"/>
  <c r="F86" s="1"/>
  <c r="F89" s="1"/>
  <c r="C85"/>
  <c r="F85" s="1"/>
  <c r="F88" s="1"/>
  <c r="C63"/>
  <c r="F63" s="1"/>
  <c r="B51"/>
  <c r="B52" s="1"/>
  <c r="F139"/>
  <c r="B100"/>
  <c r="B99"/>
  <c r="D100" s="1"/>
  <c r="F102" s="1"/>
  <c r="B122"/>
  <c r="B121"/>
  <c r="B273"/>
  <c r="B272"/>
  <c r="C267"/>
  <c r="B267"/>
  <c r="D267" s="1"/>
  <c r="C266"/>
  <c r="B266"/>
  <c r="D266" s="1"/>
  <c r="C265"/>
  <c r="B265"/>
  <c r="D265" s="1"/>
  <c r="C264"/>
  <c r="B264"/>
  <c r="D264" s="1"/>
  <c r="C263"/>
  <c r="B263"/>
  <c r="D263" s="1"/>
  <c r="C262"/>
  <c r="B262"/>
  <c r="D262" s="1"/>
  <c r="C261"/>
  <c r="B261"/>
  <c r="D261" s="1"/>
  <c r="C260"/>
  <c r="B260"/>
  <c r="D260" s="1"/>
  <c r="C259"/>
  <c r="B259"/>
  <c r="D259" s="1"/>
  <c r="C258"/>
  <c r="B258"/>
  <c r="D258" s="1"/>
  <c r="C257"/>
  <c r="B257"/>
  <c r="D257" s="1"/>
  <c r="C256"/>
  <c r="B256"/>
  <c r="D256" s="1"/>
  <c r="C255"/>
  <c r="B255"/>
  <c r="D255" s="1"/>
  <c r="C254"/>
  <c r="B254"/>
  <c r="D254" s="1"/>
  <c r="C253"/>
  <c r="B253"/>
  <c r="D253" s="1"/>
  <c r="C252"/>
  <c r="B252"/>
  <c r="D252" s="1"/>
  <c r="C251"/>
  <c r="B251"/>
  <c r="D251" s="1"/>
  <c r="C250"/>
  <c r="B250"/>
  <c r="D250" s="1"/>
  <c r="C249"/>
  <c r="B249"/>
  <c r="D249" s="1"/>
  <c r="C248"/>
  <c r="B248"/>
  <c r="D248" s="1"/>
  <c r="C247"/>
  <c r="B247"/>
  <c r="D247" s="1"/>
  <c r="B287"/>
  <c r="B283"/>
  <c r="C297" s="1"/>
  <c r="E281"/>
  <c r="F281" s="1"/>
  <c r="F283" s="1"/>
  <c r="E303" s="1"/>
  <c r="E319" s="1"/>
  <c r="E158"/>
  <c r="C221" s="1"/>
  <c r="E221" s="1"/>
  <c r="G157"/>
  <c r="B138"/>
  <c r="C141" s="1"/>
  <c r="G130"/>
  <c r="B225"/>
  <c r="E129"/>
  <c r="B129" s="1"/>
  <c r="E132" s="1"/>
  <c r="G129"/>
  <c r="B130" s="1"/>
  <c r="E133" s="1"/>
  <c r="F140"/>
  <c r="B166" i="5"/>
  <c r="E159"/>
  <c r="B165"/>
  <c r="G158"/>
  <c r="G155"/>
  <c r="B96"/>
  <c r="F96" s="1"/>
  <c r="C86"/>
  <c r="F86" s="1"/>
  <c r="F89" s="1"/>
  <c r="C85"/>
  <c r="F85" s="1"/>
  <c r="F88" s="1"/>
  <c r="C63"/>
  <c r="F63" s="1"/>
  <c r="B51"/>
  <c r="B52" s="1"/>
  <c r="F139"/>
  <c r="B100"/>
  <c r="B99"/>
  <c r="D100" s="1"/>
  <c r="F102" s="1"/>
  <c r="B122"/>
  <c r="B121"/>
  <c r="B273"/>
  <c r="B272"/>
  <c r="C267"/>
  <c r="B267"/>
  <c r="D267" s="1"/>
  <c r="C266"/>
  <c r="B266"/>
  <c r="D266" s="1"/>
  <c r="C265"/>
  <c r="B265"/>
  <c r="D265" s="1"/>
  <c r="C264"/>
  <c r="B264"/>
  <c r="D264" s="1"/>
  <c r="C263"/>
  <c r="B263"/>
  <c r="D263" s="1"/>
  <c r="C262"/>
  <c r="B262"/>
  <c r="D262" s="1"/>
  <c r="C261"/>
  <c r="B261"/>
  <c r="D261" s="1"/>
  <c r="C260"/>
  <c r="B260"/>
  <c r="D260" s="1"/>
  <c r="C259"/>
  <c r="B259"/>
  <c r="D259" s="1"/>
  <c r="C258"/>
  <c r="B258"/>
  <c r="D258" s="1"/>
  <c r="C257"/>
  <c r="B257"/>
  <c r="D257" s="1"/>
  <c r="C256"/>
  <c r="B256"/>
  <c r="D256" s="1"/>
  <c r="C255"/>
  <c r="B255"/>
  <c r="D255" s="1"/>
  <c r="C254"/>
  <c r="B254"/>
  <c r="D254" s="1"/>
  <c r="C253"/>
  <c r="B253"/>
  <c r="D253" s="1"/>
  <c r="C252"/>
  <c r="B252"/>
  <c r="D252" s="1"/>
  <c r="C251"/>
  <c r="B251"/>
  <c r="D251" s="1"/>
  <c r="C250"/>
  <c r="B250"/>
  <c r="D250" s="1"/>
  <c r="C249"/>
  <c r="B249"/>
  <c r="D249" s="1"/>
  <c r="C248"/>
  <c r="B248"/>
  <c r="D248" s="1"/>
  <c r="C247"/>
  <c r="B247"/>
  <c r="D247" s="1"/>
  <c r="B287"/>
  <c r="B283"/>
  <c r="C297" s="1"/>
  <c r="E281"/>
  <c r="F281" s="1"/>
  <c r="F283" s="1"/>
  <c r="E303" s="1"/>
  <c r="E319" s="1"/>
  <c r="E158"/>
  <c r="C221" s="1"/>
  <c r="E221" s="1"/>
  <c r="G157"/>
  <c r="B138"/>
  <c r="C141" s="1"/>
  <c r="G130"/>
  <c r="B225"/>
  <c r="E129"/>
  <c r="B129" s="1"/>
  <c r="E132" s="1"/>
  <c r="G129"/>
  <c r="B130" s="1"/>
  <c r="E133" s="1"/>
  <c r="F140"/>
  <c r="B273" i="1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47"/>
  <c r="B248"/>
  <c r="D248" s="1"/>
  <c r="B249"/>
  <c r="D249" s="1"/>
  <c r="B250"/>
  <c r="D250" s="1"/>
  <c r="B251"/>
  <c r="D251" s="1"/>
  <c r="B252"/>
  <c r="D252" s="1"/>
  <c r="B253"/>
  <c r="D253" s="1"/>
  <c r="B254"/>
  <c r="D254" s="1"/>
  <c r="B255"/>
  <c r="D255" s="1"/>
  <c r="B256"/>
  <c r="D256" s="1"/>
  <c r="B257"/>
  <c r="D257" s="1"/>
  <c r="B258"/>
  <c r="D258" s="1"/>
  <c r="B259"/>
  <c r="D259" s="1"/>
  <c r="B260"/>
  <c r="D260" s="1"/>
  <c r="B261"/>
  <c r="D261" s="1"/>
  <c r="B262"/>
  <c r="D262" s="1"/>
  <c r="B263"/>
  <c r="D263" s="1"/>
  <c r="B264"/>
  <c r="D264" s="1"/>
  <c r="B265"/>
  <c r="D265" s="1"/>
  <c r="B266"/>
  <c r="D266" s="1"/>
  <c r="B267"/>
  <c r="D267" s="1"/>
  <c r="D247"/>
  <c r="B272"/>
  <c r="D302"/>
  <c r="D318" s="1"/>
  <c r="C301"/>
  <c r="C317" s="1"/>
  <c r="B300"/>
  <c r="B316" s="1"/>
  <c r="E281"/>
  <c r="F281" s="1"/>
  <c r="B287"/>
  <c r="D91"/>
  <c r="F64"/>
  <c r="F65"/>
  <c r="C64" s="1"/>
  <c r="B192" s="1"/>
  <c r="E159"/>
  <c r="B166"/>
  <c r="C166"/>
  <c r="B54"/>
  <c r="B53"/>
  <c r="B55" s="1"/>
  <c r="E133"/>
  <c r="E132"/>
  <c r="F96"/>
  <c r="F102"/>
  <c r="E104" s="1"/>
  <c r="F78"/>
  <c r="D81" s="1"/>
  <c r="F67"/>
  <c r="C78"/>
  <c r="F57"/>
  <c r="F58"/>
  <c r="C60" s="1"/>
  <c r="F58" i="10" l="1"/>
  <c r="F57"/>
  <c r="B54"/>
  <c r="B53"/>
  <c r="B55" s="1"/>
  <c r="B56" s="1"/>
  <c r="C78"/>
  <c r="F67"/>
  <c r="F65"/>
  <c r="F64"/>
  <c r="D302"/>
  <c r="D318" s="1"/>
  <c r="C301"/>
  <c r="C317" s="1"/>
  <c r="B300"/>
  <c r="B316" s="1"/>
  <c r="B294"/>
  <c r="B289"/>
  <c r="E287"/>
  <c r="F287"/>
  <c r="F289" s="1"/>
  <c r="F304" s="1"/>
  <c r="F320" s="1"/>
  <c r="C171"/>
  <c r="C166"/>
  <c r="E104"/>
  <c r="D91"/>
  <c r="D92"/>
  <c r="C172"/>
  <c r="F58" i="8"/>
  <c r="F57"/>
  <c r="B54"/>
  <c r="B53"/>
  <c r="B55" s="1"/>
  <c r="B56" s="1"/>
  <c r="C78"/>
  <c r="F67"/>
  <c r="F65"/>
  <c r="F64"/>
  <c r="D302"/>
  <c r="D318" s="1"/>
  <c r="C301"/>
  <c r="C317" s="1"/>
  <c r="B300"/>
  <c r="B316" s="1"/>
  <c r="B294"/>
  <c r="B289"/>
  <c r="E287"/>
  <c r="F287"/>
  <c r="F289" s="1"/>
  <c r="F304" s="1"/>
  <c r="F320" s="1"/>
  <c r="C171"/>
  <c r="C166"/>
  <c r="E104"/>
  <c r="D91"/>
  <c r="D92"/>
  <c r="C172"/>
  <c r="F58" i="7"/>
  <c r="F57"/>
  <c r="B54"/>
  <c r="B53"/>
  <c r="B55" s="1"/>
  <c r="B56" s="1"/>
  <c r="C78"/>
  <c r="F67"/>
  <c r="F65"/>
  <c r="F64"/>
  <c r="D302"/>
  <c r="D318" s="1"/>
  <c r="C301"/>
  <c r="C317" s="1"/>
  <c r="B300"/>
  <c r="B316" s="1"/>
  <c r="B294"/>
  <c r="B289"/>
  <c r="E287"/>
  <c r="F287"/>
  <c r="F289" s="1"/>
  <c r="F304" s="1"/>
  <c r="F320" s="1"/>
  <c r="C171"/>
  <c r="C166"/>
  <c r="E104"/>
  <c r="D91"/>
  <c r="D92"/>
  <c r="C172"/>
  <c r="F58" i="6"/>
  <c r="F57"/>
  <c r="B54"/>
  <c r="B53"/>
  <c r="B55" s="1"/>
  <c r="C78"/>
  <c r="F67"/>
  <c r="F65"/>
  <c r="F64"/>
  <c r="D302"/>
  <c r="D318" s="1"/>
  <c r="C301"/>
  <c r="C317" s="1"/>
  <c r="B300"/>
  <c r="B316" s="1"/>
  <c r="B294"/>
  <c r="B289"/>
  <c r="E287"/>
  <c r="F287"/>
  <c r="F289" s="1"/>
  <c r="F304" s="1"/>
  <c r="F320" s="1"/>
  <c r="C166"/>
  <c r="E104"/>
  <c r="D91"/>
  <c r="D92"/>
  <c r="F58" i="5"/>
  <c r="F57"/>
  <c r="B54"/>
  <c r="B53"/>
  <c r="B55" s="1"/>
  <c r="B56" s="1"/>
  <c r="C78"/>
  <c r="F67"/>
  <c r="F65"/>
  <c r="F64"/>
  <c r="D302"/>
  <c r="D318" s="1"/>
  <c r="C301"/>
  <c r="C317" s="1"/>
  <c r="B300"/>
  <c r="B316" s="1"/>
  <c r="B294"/>
  <c r="B289"/>
  <c r="E287"/>
  <c r="F287"/>
  <c r="F289" s="1"/>
  <c r="F304" s="1"/>
  <c r="F320" s="1"/>
  <c r="C171"/>
  <c r="C166"/>
  <c r="E104"/>
  <c r="D91"/>
  <c r="D92"/>
  <c r="C172"/>
  <c r="D311" i="1"/>
  <c r="D325" s="1"/>
  <c r="C310"/>
  <c r="C324" s="1"/>
  <c r="B56"/>
  <c r="C171" s="1"/>
  <c r="B294"/>
  <c r="B295" s="1"/>
  <c r="B289"/>
  <c r="E294"/>
  <c r="F294" s="1"/>
  <c r="F295" s="1"/>
  <c r="E287"/>
  <c r="F287" s="1"/>
  <c r="B196"/>
  <c r="B195"/>
  <c r="B194"/>
  <c r="B193"/>
  <c r="E195" s="1"/>
  <c r="C172"/>
  <c r="C170"/>
  <c r="C169"/>
  <c r="F68"/>
  <c r="F69"/>
  <c r="C68" s="1"/>
  <c r="C205" s="1"/>
  <c r="C206" s="1"/>
  <c r="C141"/>
  <c r="E122"/>
  <c r="F113"/>
  <c r="F77"/>
  <c r="C77"/>
  <c r="B295" i="10" l="1"/>
  <c r="E294"/>
  <c r="F294"/>
  <c r="F295" s="1"/>
  <c r="F78"/>
  <c r="C64"/>
  <c r="B192" s="1"/>
  <c r="C77"/>
  <c r="F69"/>
  <c r="F68"/>
  <c r="C169"/>
  <c r="C170"/>
  <c r="C60"/>
  <c r="F113"/>
  <c r="B295" i="8"/>
  <c r="E294"/>
  <c r="F294"/>
  <c r="F295" s="1"/>
  <c r="F78"/>
  <c r="C64"/>
  <c r="B192" s="1"/>
  <c r="C77"/>
  <c r="F69"/>
  <c r="F68"/>
  <c r="C169"/>
  <c r="C170"/>
  <c r="C60"/>
  <c r="F113"/>
  <c r="B295" i="7"/>
  <c r="E294"/>
  <c r="F294"/>
  <c r="F295" s="1"/>
  <c r="F78"/>
  <c r="C64"/>
  <c r="B192" s="1"/>
  <c r="C77"/>
  <c r="F69"/>
  <c r="F68"/>
  <c r="C169"/>
  <c r="C170"/>
  <c r="C60"/>
  <c r="F113"/>
  <c r="B295" i="6"/>
  <c r="E294"/>
  <c r="F294"/>
  <c r="F295" s="1"/>
  <c r="F78"/>
  <c r="C64"/>
  <c r="C77"/>
  <c r="F69"/>
  <c r="F68"/>
  <c r="B56"/>
  <c r="C60"/>
  <c r="F113"/>
  <c r="B295" i="5"/>
  <c r="E294"/>
  <c r="F294"/>
  <c r="F295" s="1"/>
  <c r="F78"/>
  <c r="C64"/>
  <c r="B192" s="1"/>
  <c r="C77"/>
  <c r="F69"/>
  <c r="F68"/>
  <c r="C169"/>
  <c r="C170"/>
  <c r="C60"/>
  <c r="F113"/>
  <c r="C209" i="1"/>
  <c r="C208"/>
  <c r="C207"/>
  <c r="F208" s="1"/>
  <c r="D172"/>
  <c r="F171"/>
  <c r="F170"/>
  <c r="E194"/>
  <c r="D196"/>
  <c r="D80"/>
  <c r="E121"/>
  <c r="D311" i="10" l="1"/>
  <c r="D325" s="1"/>
  <c r="D172"/>
  <c r="F171"/>
  <c r="D219" s="1"/>
  <c r="F170"/>
  <c r="C219" s="1"/>
  <c r="F77"/>
  <c r="C68"/>
  <c r="C205" s="1"/>
  <c r="B196"/>
  <c r="B195"/>
  <c r="B194"/>
  <c r="B193"/>
  <c r="D81"/>
  <c r="E122"/>
  <c r="D311" i="8"/>
  <c r="D325" s="1"/>
  <c r="D172"/>
  <c r="F171"/>
  <c r="D219" s="1"/>
  <c r="F170"/>
  <c r="C219" s="1"/>
  <c r="F77"/>
  <c r="C68"/>
  <c r="C205" s="1"/>
  <c r="B196"/>
  <c r="B195"/>
  <c r="B194"/>
  <c r="B193"/>
  <c r="D81"/>
  <c r="E122"/>
  <c r="D311" i="7"/>
  <c r="D325" s="1"/>
  <c r="D172"/>
  <c r="F171"/>
  <c r="D219" s="1"/>
  <c r="F170"/>
  <c r="C219" s="1"/>
  <c r="F77"/>
  <c r="C68"/>
  <c r="C205" s="1"/>
  <c r="B196"/>
  <c r="B195"/>
  <c r="B194"/>
  <c r="B193"/>
  <c r="D81"/>
  <c r="E122"/>
  <c r="D311" i="6"/>
  <c r="D325" s="1"/>
  <c r="C169"/>
  <c r="C170"/>
  <c r="C171"/>
  <c r="C172"/>
  <c r="F77"/>
  <c r="C68"/>
  <c r="B192"/>
  <c r="D81"/>
  <c r="E122"/>
  <c r="D311" i="5"/>
  <c r="D325" s="1"/>
  <c r="D172"/>
  <c r="F171"/>
  <c r="D219" s="1"/>
  <c r="F170"/>
  <c r="C219" s="1"/>
  <c r="F77"/>
  <c r="C68"/>
  <c r="C205" s="1"/>
  <c r="B196"/>
  <c r="B195"/>
  <c r="B194"/>
  <c r="B193"/>
  <c r="D81"/>
  <c r="E122"/>
  <c r="G313" i="1"/>
  <c r="G309"/>
  <c r="F309"/>
  <c r="B309"/>
  <c r="B323" s="1"/>
  <c r="F313"/>
  <c r="C219"/>
  <c r="F312"/>
  <c r="F311"/>
  <c r="D219"/>
  <c r="D223" s="1"/>
  <c r="E311"/>
  <c r="E310"/>
  <c r="E312"/>
  <c r="E219"/>
  <c r="C223"/>
  <c r="D224"/>
  <c r="F223"/>
  <c r="D220"/>
  <c r="D222" s="1"/>
  <c r="F222" s="1"/>
  <c r="F219"/>
  <c r="F207"/>
  <c r="E209"/>
  <c r="C310" i="10" l="1"/>
  <c r="C324" s="1"/>
  <c r="D196"/>
  <c r="E195"/>
  <c r="E194"/>
  <c r="C209"/>
  <c r="C208"/>
  <c r="C207"/>
  <c r="C206"/>
  <c r="D80"/>
  <c r="E121"/>
  <c r="C223"/>
  <c r="E219"/>
  <c r="D223"/>
  <c r="D220"/>
  <c r="F219"/>
  <c r="E311"/>
  <c r="F311"/>
  <c r="F312"/>
  <c r="C310" i="8"/>
  <c r="C324" s="1"/>
  <c r="D196"/>
  <c r="E195"/>
  <c r="E194"/>
  <c r="C209"/>
  <c r="C208"/>
  <c r="C207"/>
  <c r="C206"/>
  <c r="D80"/>
  <c r="E121"/>
  <c r="C223"/>
  <c r="E219"/>
  <c r="D223"/>
  <c r="D220"/>
  <c r="F219"/>
  <c r="E311"/>
  <c r="F311"/>
  <c r="F312"/>
  <c r="C310" i="7"/>
  <c r="C324" s="1"/>
  <c r="D196"/>
  <c r="E195"/>
  <c r="E194"/>
  <c r="C209"/>
  <c r="C208"/>
  <c r="C207"/>
  <c r="C206"/>
  <c r="D80"/>
  <c r="E121"/>
  <c r="C223"/>
  <c r="E219"/>
  <c r="D223"/>
  <c r="D220"/>
  <c r="F219"/>
  <c r="E311"/>
  <c r="F311"/>
  <c r="F312"/>
  <c r="C310" i="6"/>
  <c r="C324" s="1"/>
  <c r="B196"/>
  <c r="B195"/>
  <c r="B194"/>
  <c r="B193"/>
  <c r="C205"/>
  <c r="D80"/>
  <c r="E121"/>
  <c r="F171"/>
  <c r="F170"/>
  <c r="D172"/>
  <c r="C310" i="5"/>
  <c r="C324" s="1"/>
  <c r="D196"/>
  <c r="E195"/>
  <c r="E194"/>
  <c r="C209"/>
  <c r="C208"/>
  <c r="C207"/>
  <c r="C206"/>
  <c r="D80"/>
  <c r="E121"/>
  <c r="C223"/>
  <c r="E219"/>
  <c r="D223"/>
  <c r="D220"/>
  <c r="F219"/>
  <c r="E311"/>
  <c r="F311"/>
  <c r="F312"/>
  <c r="G312" i="1"/>
  <c r="G310"/>
  <c r="E324"/>
  <c r="C312"/>
  <c r="C326" s="1"/>
  <c r="E325"/>
  <c r="D312"/>
  <c r="D326" s="1"/>
  <c r="F325"/>
  <c r="D313"/>
  <c r="D327" s="1"/>
  <c r="F326"/>
  <c r="E313"/>
  <c r="E327" s="1"/>
  <c r="F323"/>
  <c r="B313"/>
  <c r="B327" s="1"/>
  <c r="G323"/>
  <c r="B314"/>
  <c r="B328" s="1"/>
  <c r="G327"/>
  <c r="F314"/>
  <c r="F328" s="1"/>
  <c r="G314"/>
  <c r="G328" s="1"/>
  <c r="F224"/>
  <c r="C224"/>
  <c r="E223"/>
  <c r="D221"/>
  <c r="F221" s="1"/>
  <c r="F220"/>
  <c r="F225" s="1"/>
  <c r="F326" i="10" l="1"/>
  <c r="E313"/>
  <c r="E327" s="1"/>
  <c r="F325"/>
  <c r="D313"/>
  <c r="D327" s="1"/>
  <c r="E325"/>
  <c r="D312"/>
  <c r="D326" s="1"/>
  <c r="D222"/>
  <c r="F222" s="1"/>
  <c r="D221"/>
  <c r="F221" s="1"/>
  <c r="F220"/>
  <c r="D224"/>
  <c r="F224" s="1"/>
  <c r="F223"/>
  <c r="C224"/>
  <c r="E224" s="1"/>
  <c r="E223"/>
  <c r="G313"/>
  <c r="G309"/>
  <c r="F309"/>
  <c r="B309"/>
  <c r="B323" s="1"/>
  <c r="F313"/>
  <c r="F327" s="1"/>
  <c r="E209"/>
  <c r="F208"/>
  <c r="F207"/>
  <c r="F225"/>
  <c r="E228" s="1"/>
  <c r="E225"/>
  <c r="E227" s="1"/>
  <c r="C230" s="1"/>
  <c r="D233" s="1"/>
  <c r="D236" s="1"/>
  <c r="F326" i="8"/>
  <c r="E313"/>
  <c r="E327" s="1"/>
  <c r="F325"/>
  <c r="D313"/>
  <c r="D327" s="1"/>
  <c r="E325"/>
  <c r="D312"/>
  <c r="D326" s="1"/>
  <c r="D222"/>
  <c r="F222" s="1"/>
  <c r="D221"/>
  <c r="F221" s="1"/>
  <c r="F220"/>
  <c r="D224"/>
  <c r="F224" s="1"/>
  <c r="F223"/>
  <c r="C224"/>
  <c r="E224" s="1"/>
  <c r="E223"/>
  <c r="G313"/>
  <c r="G309"/>
  <c r="F309"/>
  <c r="B309"/>
  <c r="B323" s="1"/>
  <c r="F313"/>
  <c r="F327" s="1"/>
  <c r="E209"/>
  <c r="F208"/>
  <c r="F207"/>
  <c r="F225"/>
  <c r="E228" s="1"/>
  <c r="E225"/>
  <c r="E227" s="1"/>
  <c r="C230" s="1"/>
  <c r="D233" s="1"/>
  <c r="D236" s="1"/>
  <c r="F326" i="7"/>
  <c r="E313"/>
  <c r="E327" s="1"/>
  <c r="F325"/>
  <c r="D313"/>
  <c r="D327" s="1"/>
  <c r="E325"/>
  <c r="D312"/>
  <c r="D326" s="1"/>
  <c r="D222"/>
  <c r="F222" s="1"/>
  <c r="D221"/>
  <c r="F221" s="1"/>
  <c r="F220"/>
  <c r="D224"/>
  <c r="F224" s="1"/>
  <c r="F223"/>
  <c r="C224"/>
  <c r="E224" s="1"/>
  <c r="E223"/>
  <c r="G313"/>
  <c r="G309"/>
  <c r="F309"/>
  <c r="B309"/>
  <c r="B323" s="1"/>
  <c r="F313"/>
  <c r="F327" s="1"/>
  <c r="E209"/>
  <c r="F208"/>
  <c r="F207"/>
  <c r="F225"/>
  <c r="E228" s="1"/>
  <c r="E225"/>
  <c r="E227" s="1"/>
  <c r="C230" s="1"/>
  <c r="D233" s="1"/>
  <c r="D236" s="1"/>
  <c r="C219" i="6"/>
  <c r="F312"/>
  <c r="F311"/>
  <c r="D219"/>
  <c r="E311"/>
  <c r="B309"/>
  <c r="B323" s="1"/>
  <c r="C209"/>
  <c r="C208"/>
  <c r="C207"/>
  <c r="C206"/>
  <c r="E195"/>
  <c r="F309" s="1"/>
  <c r="E194"/>
  <c r="G313" s="1"/>
  <c r="D196"/>
  <c r="F326" i="5"/>
  <c r="E313"/>
  <c r="E327" s="1"/>
  <c r="F325"/>
  <c r="D313"/>
  <c r="D327" s="1"/>
  <c r="E325"/>
  <c r="D312"/>
  <c r="D326" s="1"/>
  <c r="D222"/>
  <c r="F222" s="1"/>
  <c r="D221"/>
  <c r="F221" s="1"/>
  <c r="F220"/>
  <c r="D224"/>
  <c r="F224" s="1"/>
  <c r="F223"/>
  <c r="C224"/>
  <c r="E224" s="1"/>
  <c r="E223"/>
  <c r="G313"/>
  <c r="G309"/>
  <c r="F309"/>
  <c r="B309"/>
  <c r="B323" s="1"/>
  <c r="F313"/>
  <c r="F327" s="1"/>
  <c r="E209"/>
  <c r="F208"/>
  <c r="F207"/>
  <c r="F225"/>
  <c r="E228" s="1"/>
  <c r="E225"/>
  <c r="E227" s="1"/>
  <c r="C230" s="1"/>
  <c r="D233" s="1"/>
  <c r="D236" s="1"/>
  <c r="G324" i="1"/>
  <c r="C314"/>
  <c r="C328" s="1"/>
  <c r="G326"/>
  <c r="E314"/>
  <c r="E328" s="1"/>
  <c r="E224"/>
  <c r="E225" s="1"/>
  <c r="E227" s="1"/>
  <c r="C230" s="1"/>
  <c r="D233" s="1"/>
  <c r="D236" s="1"/>
  <c r="F289"/>
  <c r="F304" s="1"/>
  <c r="F320" s="1"/>
  <c r="F327" s="1"/>
  <c r="E228"/>
  <c r="D232" i="10" l="1"/>
  <c r="D235" s="1"/>
  <c r="C231"/>
  <c r="G312"/>
  <c r="G310"/>
  <c r="E310"/>
  <c r="E312"/>
  <c r="E326" s="1"/>
  <c r="F323"/>
  <c r="B313"/>
  <c r="B327" s="1"/>
  <c r="G323"/>
  <c r="B314"/>
  <c r="B328" s="1"/>
  <c r="G327"/>
  <c r="F314"/>
  <c r="F328" s="1"/>
  <c r="G314"/>
  <c r="G328" s="1"/>
  <c r="D232" i="8"/>
  <c r="D235" s="1"/>
  <c r="C231"/>
  <c r="G312"/>
  <c r="G310"/>
  <c r="E310"/>
  <c r="E312"/>
  <c r="E326" s="1"/>
  <c r="F323"/>
  <c r="B313"/>
  <c r="B327" s="1"/>
  <c r="G323"/>
  <c r="B314"/>
  <c r="B328" s="1"/>
  <c r="G327"/>
  <c r="F314"/>
  <c r="F328" s="1"/>
  <c r="G314"/>
  <c r="G328" s="1"/>
  <c r="D232" i="7"/>
  <c r="D235" s="1"/>
  <c r="C231"/>
  <c r="G312"/>
  <c r="G310"/>
  <c r="E310"/>
  <c r="E312"/>
  <c r="E326" s="1"/>
  <c r="F323"/>
  <c r="B313"/>
  <c r="B327" s="1"/>
  <c r="G323"/>
  <c r="B314"/>
  <c r="B328" s="1"/>
  <c r="G327"/>
  <c r="F314"/>
  <c r="F328" s="1"/>
  <c r="G314"/>
  <c r="G328" s="1"/>
  <c r="G327" i="6"/>
  <c r="F314"/>
  <c r="F328" s="1"/>
  <c r="F323"/>
  <c r="B313"/>
  <c r="B327" s="1"/>
  <c r="F208"/>
  <c r="F207"/>
  <c r="E209"/>
  <c r="E325"/>
  <c r="D312"/>
  <c r="D326" s="1"/>
  <c r="D223"/>
  <c r="D220"/>
  <c r="F219"/>
  <c r="F325"/>
  <c r="D313"/>
  <c r="D327" s="1"/>
  <c r="F326"/>
  <c r="E313"/>
  <c r="E327" s="1"/>
  <c r="C223"/>
  <c r="E219"/>
  <c r="G314"/>
  <c r="G328" s="1"/>
  <c r="F313"/>
  <c r="F327" s="1"/>
  <c r="G309"/>
  <c r="D232" i="5"/>
  <c r="D235" s="1"/>
  <c r="C231"/>
  <c r="G312"/>
  <c r="G310"/>
  <c r="E310"/>
  <c r="E312"/>
  <c r="E326" s="1"/>
  <c r="F323"/>
  <c r="B313"/>
  <c r="B327" s="1"/>
  <c r="G323"/>
  <c r="B314"/>
  <c r="B328" s="1"/>
  <c r="G327"/>
  <c r="F314"/>
  <c r="F328" s="1"/>
  <c r="G314"/>
  <c r="G328" s="1"/>
  <c r="C231" i="1"/>
  <c r="D232"/>
  <c r="D235" s="1"/>
  <c r="E324" i="10" l="1"/>
  <c r="C312"/>
  <c r="C326" s="1"/>
  <c r="G324"/>
  <c r="C314"/>
  <c r="C328" s="1"/>
  <c r="G326"/>
  <c r="E314"/>
  <c r="E328" s="1"/>
  <c r="E324" i="8"/>
  <c r="C312"/>
  <c r="C326" s="1"/>
  <c r="G324"/>
  <c r="C314"/>
  <c r="C328" s="1"/>
  <c r="G326"/>
  <c r="E314"/>
  <c r="E328" s="1"/>
  <c r="E324" i="7"/>
  <c r="C312"/>
  <c r="C326" s="1"/>
  <c r="G324"/>
  <c r="C314"/>
  <c r="C328" s="1"/>
  <c r="G326"/>
  <c r="E314"/>
  <c r="E328" s="1"/>
  <c r="G323" i="6"/>
  <c r="B314"/>
  <c r="B328" s="1"/>
  <c r="C224"/>
  <c r="E224" s="1"/>
  <c r="E223"/>
  <c r="D222"/>
  <c r="F222" s="1"/>
  <c r="D221"/>
  <c r="F221" s="1"/>
  <c r="F220"/>
  <c r="D224"/>
  <c r="F224" s="1"/>
  <c r="F223"/>
  <c r="G312"/>
  <c r="G310"/>
  <c r="E310"/>
  <c r="E312"/>
  <c r="E326" s="1"/>
  <c r="E225"/>
  <c r="E227" s="1"/>
  <c r="C230" s="1"/>
  <c r="D233" s="1"/>
  <c r="D236" s="1"/>
  <c r="F225"/>
  <c r="E228" s="1"/>
  <c r="E324" i="5"/>
  <c r="C312"/>
  <c r="C326" s="1"/>
  <c r="G324"/>
  <c r="C314"/>
  <c r="C328" s="1"/>
  <c r="G326"/>
  <c r="E314"/>
  <c r="E328" s="1"/>
  <c r="F283" i="1"/>
  <c r="E303" s="1"/>
  <c r="E319" s="1"/>
  <c r="E326" s="1"/>
  <c r="B330" s="1" a="1"/>
  <c r="B330" i="10" l="1" a="1"/>
  <c r="B330" i="8" a="1"/>
  <c r="B330" i="7" a="1"/>
  <c r="D232" i="6"/>
  <c r="D235" s="1"/>
  <c r="C231"/>
  <c r="E324"/>
  <c r="C312"/>
  <c r="C326" s="1"/>
  <c r="G324"/>
  <c r="C314"/>
  <c r="C328" s="1"/>
  <c r="G326"/>
  <c r="E314"/>
  <c r="E328" s="1"/>
  <c r="B330" a="1"/>
  <c r="B330" i="5" a="1"/>
  <c r="B330" i="1"/>
  <c r="C330"/>
  <c r="D330"/>
  <c r="E330"/>
  <c r="F330"/>
  <c r="G330"/>
  <c r="B331"/>
  <c r="C331"/>
  <c r="D331"/>
  <c r="E331"/>
  <c r="F331"/>
  <c r="G331"/>
  <c r="B332"/>
  <c r="C332"/>
  <c r="D332"/>
  <c r="E332"/>
  <c r="F332"/>
  <c r="G332"/>
  <c r="B333"/>
  <c r="C333"/>
  <c r="D333"/>
  <c r="E333"/>
  <c r="F333"/>
  <c r="G333"/>
  <c r="B334"/>
  <c r="C334"/>
  <c r="D334"/>
  <c r="E334"/>
  <c r="F334"/>
  <c r="G334"/>
  <c r="B335"/>
  <c r="C335"/>
  <c r="D335"/>
  <c r="E335"/>
  <c r="F335"/>
  <c r="G335"/>
  <c r="G335" i="10" l="1"/>
  <c r="F335"/>
  <c r="E335"/>
  <c r="D335"/>
  <c r="C335"/>
  <c r="B335"/>
  <c r="G334"/>
  <c r="F334"/>
  <c r="E334"/>
  <c r="D334"/>
  <c r="C334"/>
  <c r="B334"/>
  <c r="G333"/>
  <c r="F333"/>
  <c r="E333"/>
  <c r="D333"/>
  <c r="C333"/>
  <c r="B333"/>
  <c r="G332"/>
  <c r="F332"/>
  <c r="E332"/>
  <c r="D332"/>
  <c r="C332"/>
  <c r="B332"/>
  <c r="G331"/>
  <c r="F331"/>
  <c r="E331"/>
  <c r="D331"/>
  <c r="C331"/>
  <c r="B331"/>
  <c r="G330"/>
  <c r="F330"/>
  <c r="E330"/>
  <c r="D330"/>
  <c r="C330"/>
  <c r="B330"/>
  <c r="B338" s="1" a="1"/>
  <c r="G335" i="8"/>
  <c r="F335"/>
  <c r="E335"/>
  <c r="D335"/>
  <c r="C335"/>
  <c r="B335"/>
  <c r="G334"/>
  <c r="F334"/>
  <c r="E334"/>
  <c r="D334"/>
  <c r="C334"/>
  <c r="B334"/>
  <c r="G333"/>
  <c r="F333"/>
  <c r="E333"/>
  <c r="D333"/>
  <c r="C333"/>
  <c r="B333"/>
  <c r="G332"/>
  <c r="F332"/>
  <c r="E332"/>
  <c r="D332"/>
  <c r="C332"/>
  <c r="B332"/>
  <c r="G331"/>
  <c r="F331"/>
  <c r="E331"/>
  <c r="D331"/>
  <c r="C331"/>
  <c r="B331"/>
  <c r="G330"/>
  <c r="F330"/>
  <c r="E330"/>
  <c r="D330"/>
  <c r="C330"/>
  <c r="B330"/>
  <c r="B338" s="1" a="1"/>
  <c r="G335" i="7"/>
  <c r="F335"/>
  <c r="E335"/>
  <c r="D335"/>
  <c r="C335"/>
  <c r="B335"/>
  <c r="G334"/>
  <c r="F334"/>
  <c r="E334"/>
  <c r="D334"/>
  <c r="C334"/>
  <c r="B334"/>
  <c r="G333"/>
  <c r="F333"/>
  <c r="E333"/>
  <c r="D333"/>
  <c r="C333"/>
  <c r="B333"/>
  <c r="G332"/>
  <c r="F332"/>
  <c r="E332"/>
  <c r="D332"/>
  <c r="C332"/>
  <c r="B332"/>
  <c r="G331"/>
  <c r="F331"/>
  <c r="E331"/>
  <c r="D331"/>
  <c r="C331"/>
  <c r="B331"/>
  <c r="G330"/>
  <c r="F330"/>
  <c r="E330"/>
  <c r="D330"/>
  <c r="C330"/>
  <c r="B330"/>
  <c r="B338" s="1" a="1"/>
  <c r="G335" i="6"/>
  <c r="F335"/>
  <c r="E335"/>
  <c r="D335"/>
  <c r="C335"/>
  <c r="B335"/>
  <c r="G334"/>
  <c r="F334"/>
  <c r="E334"/>
  <c r="D334"/>
  <c r="C334"/>
  <c r="B334"/>
  <c r="G333"/>
  <c r="F333"/>
  <c r="E333"/>
  <c r="D333"/>
  <c r="C333"/>
  <c r="B333"/>
  <c r="G332"/>
  <c r="F332"/>
  <c r="E332"/>
  <c r="D332"/>
  <c r="C332"/>
  <c r="B332"/>
  <c r="G331"/>
  <c r="F331"/>
  <c r="E331"/>
  <c r="D331"/>
  <c r="C331"/>
  <c r="B331"/>
  <c r="G330"/>
  <c r="F330"/>
  <c r="E330"/>
  <c r="D330"/>
  <c r="C330"/>
  <c r="B330"/>
  <c r="B338" s="1" a="1"/>
  <c r="G335" i="5"/>
  <c r="F335"/>
  <c r="E335"/>
  <c r="D335"/>
  <c r="C335"/>
  <c r="B335"/>
  <c r="G334"/>
  <c r="F334"/>
  <c r="E334"/>
  <c r="D334"/>
  <c r="C334"/>
  <c r="B334"/>
  <c r="G333"/>
  <c r="F333"/>
  <c r="E333"/>
  <c r="D333"/>
  <c r="C333"/>
  <c r="B333"/>
  <c r="G332"/>
  <c r="F332"/>
  <c r="E332"/>
  <c r="D332"/>
  <c r="C332"/>
  <c r="B332"/>
  <c r="G331"/>
  <c r="F331"/>
  <c r="E331"/>
  <c r="D331"/>
  <c r="C331"/>
  <c r="B331"/>
  <c r="G330"/>
  <c r="F330"/>
  <c r="E330"/>
  <c r="D330"/>
  <c r="C330"/>
  <c r="B330"/>
  <c r="B338" s="1" a="1"/>
  <c r="B338" i="1" a="1"/>
  <c r="B343" i="10" l="1"/>
  <c r="B342"/>
  <c r="B341"/>
  <c r="B340"/>
  <c r="D340" s="1"/>
  <c r="B339"/>
  <c r="D339" s="1"/>
  <c r="F339" s="1"/>
  <c r="B338"/>
  <c r="D338" s="1"/>
  <c r="F338" s="1"/>
  <c r="B343" i="8"/>
  <c r="B342"/>
  <c r="B341"/>
  <c r="B340"/>
  <c r="D340" s="1"/>
  <c r="B339"/>
  <c r="D339" s="1"/>
  <c r="F339" s="1"/>
  <c r="B338"/>
  <c r="D338" s="1"/>
  <c r="F338" s="1"/>
  <c r="B343" i="7"/>
  <c r="B342"/>
  <c r="B341"/>
  <c r="B340"/>
  <c r="D340" s="1"/>
  <c r="B339"/>
  <c r="D339" s="1"/>
  <c r="F339" s="1"/>
  <c r="B338"/>
  <c r="D338" s="1"/>
  <c r="F338" s="1"/>
  <c r="B343" i="6"/>
  <c r="B342"/>
  <c r="B341"/>
  <c r="B340"/>
  <c r="D340" s="1"/>
  <c r="F340" s="1"/>
  <c r="B339"/>
  <c r="D339" s="1"/>
  <c r="F339" s="1"/>
  <c r="B338"/>
  <c r="D338" s="1"/>
  <c r="F338" s="1"/>
  <c r="B343" i="5"/>
  <c r="B342"/>
  <c r="B341"/>
  <c r="B340"/>
  <c r="D340" s="1"/>
  <c r="F340" s="1"/>
  <c r="B339"/>
  <c r="D339" s="1"/>
  <c r="F339" s="1"/>
  <c r="B338"/>
  <c r="D338" s="1"/>
  <c r="F338" s="1"/>
  <c r="B338" i="1"/>
  <c r="D338" s="1"/>
  <c r="F338" s="1"/>
  <c r="B339"/>
  <c r="D339" s="1"/>
  <c r="F339" s="1"/>
  <c r="B340"/>
  <c r="D340" s="1"/>
  <c r="F340" s="1"/>
  <c r="B341"/>
  <c r="B342"/>
  <c r="B343"/>
  <c r="D346" i="10" l="1"/>
  <c r="F340"/>
  <c r="G341"/>
  <c r="D341"/>
  <c r="G342"/>
  <c r="D342"/>
  <c r="G343"/>
  <c r="D343"/>
  <c r="F340" i="7"/>
  <c r="D346"/>
  <c r="D346" i="8"/>
  <c r="F340"/>
  <c r="G341"/>
  <c r="D341"/>
  <c r="G342"/>
  <c r="D342"/>
  <c r="G343"/>
  <c r="D343"/>
  <c r="G341" i="7"/>
  <c r="D341"/>
  <c r="G342"/>
  <c r="D342"/>
  <c r="G343"/>
  <c r="D343"/>
  <c r="G341" i="6"/>
  <c r="D341"/>
  <c r="G342"/>
  <c r="D342"/>
  <c r="G343"/>
  <c r="D343"/>
  <c r="G341" i="5"/>
  <c r="D341"/>
  <c r="G342"/>
  <c r="D342"/>
  <c r="G343"/>
  <c r="D343"/>
  <c r="G343" i="1"/>
  <c r="D343"/>
  <c r="G342"/>
  <c r="D342"/>
  <c r="G341"/>
  <c r="D341"/>
</calcChain>
</file>

<file path=xl/comments1.xml><?xml version="1.0" encoding="utf-8"?>
<comments xmlns="http://schemas.openxmlformats.org/spreadsheetml/2006/main">
  <authors>
    <author>Ulises Talonia V</author>
  </authors>
  <commentList>
    <comment ref="B42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Espesor del estrato de apoyo</t>
        </r>
      </text>
    </comment>
    <comment ref="F145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Si el contacto es adecuado, usar 1, de lo contrario QW&lt;1</t>
        </r>
      </text>
    </comment>
    <comment ref="F147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Para modo vertical, horizontal y torsional</t>
        </r>
      </text>
    </comment>
  </commentList>
</comments>
</file>

<file path=xl/comments2.xml><?xml version="1.0" encoding="utf-8"?>
<comments xmlns="http://schemas.openxmlformats.org/spreadsheetml/2006/main">
  <authors>
    <author>Ulises Talonia V</author>
  </authors>
  <commentList>
    <comment ref="B42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Espesor del estrato de apoyo</t>
        </r>
      </text>
    </comment>
    <comment ref="F145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Si el contacto es adecuado, usar 1, de lo contrario QW&lt;1</t>
        </r>
      </text>
    </comment>
    <comment ref="F147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Para modo vertical, horizontal y torsional</t>
        </r>
      </text>
    </comment>
  </commentList>
</comments>
</file>

<file path=xl/comments3.xml><?xml version="1.0" encoding="utf-8"?>
<comments xmlns="http://schemas.openxmlformats.org/spreadsheetml/2006/main">
  <authors>
    <author>Ulises Talonia V</author>
  </authors>
  <commentList>
    <comment ref="B42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Espesor del estrato de apoyo</t>
        </r>
      </text>
    </comment>
    <comment ref="F145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Si el contacto es adecuado, usar 1, de lo contrario QW&lt;1</t>
        </r>
      </text>
    </comment>
    <comment ref="F147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Para modo vertical, horizontal y torsional</t>
        </r>
      </text>
    </comment>
  </commentList>
</comments>
</file>

<file path=xl/comments4.xml><?xml version="1.0" encoding="utf-8"?>
<comments xmlns="http://schemas.openxmlformats.org/spreadsheetml/2006/main">
  <authors>
    <author>Ulises Talonia V</author>
  </authors>
  <commentList>
    <comment ref="B42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Espesor del estrato de apoyo</t>
        </r>
      </text>
    </comment>
    <comment ref="F145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Si el contacto es adecuado, usar 1, de lo contrario QW&lt;1</t>
        </r>
      </text>
    </comment>
    <comment ref="F147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Para modo vertical, horizontal y torsional</t>
        </r>
      </text>
    </comment>
  </commentList>
</comments>
</file>

<file path=xl/comments5.xml><?xml version="1.0" encoding="utf-8"?>
<comments xmlns="http://schemas.openxmlformats.org/spreadsheetml/2006/main">
  <authors>
    <author>Ulises Talonia V</author>
  </authors>
  <commentList>
    <comment ref="B42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Espesor del estrato de apoyo</t>
        </r>
      </text>
    </comment>
    <comment ref="F145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Si el contacto es adecuado, usar 1, de lo contrario QW&lt;1</t>
        </r>
      </text>
    </comment>
    <comment ref="F147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Para modo vertical, horizontal y torsional</t>
        </r>
      </text>
    </comment>
  </commentList>
</comments>
</file>

<file path=xl/comments6.xml><?xml version="1.0" encoding="utf-8"?>
<comments xmlns="http://schemas.openxmlformats.org/spreadsheetml/2006/main">
  <authors>
    <author>Ulises Talonia V</author>
  </authors>
  <commentList>
    <comment ref="B42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Espesor del estrato de apoyo</t>
        </r>
      </text>
    </comment>
    <comment ref="F145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Si el contacto es adecuado, usar 1, de lo contrario QW&lt;1</t>
        </r>
      </text>
    </comment>
    <comment ref="F147" authorId="0">
      <text>
        <r>
          <rPr>
            <b/>
            <sz val="8"/>
            <color indexed="81"/>
            <rFont val="Tahoma"/>
            <family val="2"/>
          </rPr>
          <t>Ulises Talonia V:</t>
        </r>
        <r>
          <rPr>
            <sz val="8"/>
            <color indexed="81"/>
            <rFont val="Tahoma"/>
            <family val="2"/>
          </rPr>
          <t xml:space="preserve">
Para modo vertical, horizontal y torsional</t>
        </r>
      </text>
    </comment>
  </commentList>
</comments>
</file>

<file path=xl/sharedStrings.xml><?xml version="1.0" encoding="utf-8"?>
<sst xmlns="http://schemas.openxmlformats.org/spreadsheetml/2006/main" count="2340" uniqueCount="273">
  <si>
    <t>ANÁLISIS DINÁMICO DE LA CIMENTACIÓN DE UN VENTILADOR DE TIRO INDUCIDO</t>
  </si>
  <si>
    <t>La geometría de la cimentación es la siguiente:</t>
  </si>
  <si>
    <t>2B =</t>
  </si>
  <si>
    <t>2L =</t>
  </si>
  <si>
    <t>Rigidez vertical</t>
  </si>
  <si>
    <r>
      <t>S</t>
    </r>
    <r>
      <rPr>
        <vertAlign val="subscript"/>
        <sz val="10"/>
        <rFont val="Arial"/>
        <family val="2"/>
      </rPr>
      <t>z</t>
    </r>
    <r>
      <rPr>
        <sz val="10"/>
        <rFont val="Arial"/>
      </rPr>
      <t xml:space="preserve"> =</t>
    </r>
  </si>
  <si>
    <t>G =</t>
  </si>
  <si>
    <r>
      <t>n</t>
    </r>
    <r>
      <rPr>
        <sz val="10"/>
        <rFont val="Arial"/>
      </rPr>
      <t xml:space="preserve"> =</t>
    </r>
  </si>
  <si>
    <r>
      <t>V</t>
    </r>
    <r>
      <rPr>
        <vertAlign val="subscript"/>
        <sz val="10"/>
        <rFont val="Arial"/>
        <family val="2"/>
      </rPr>
      <t>s</t>
    </r>
    <r>
      <rPr>
        <sz val="10"/>
        <rFont val="Arial"/>
      </rPr>
      <t xml:space="preserve"> =</t>
    </r>
  </si>
  <si>
    <t>m/s</t>
  </si>
  <si>
    <r>
      <t>r</t>
    </r>
    <r>
      <rPr>
        <sz val="10"/>
        <rFont val="Arial"/>
      </rPr>
      <t xml:space="preserve"> =</t>
    </r>
  </si>
  <si>
    <t>T/m²</t>
  </si>
  <si>
    <r>
      <t>g</t>
    </r>
    <r>
      <rPr>
        <sz val="10"/>
        <rFont val="Arial"/>
      </rPr>
      <t xml:space="preserve"> =</t>
    </r>
  </si>
  <si>
    <t>T/m³</t>
  </si>
  <si>
    <r>
      <t>T-s²/m</t>
    </r>
    <r>
      <rPr>
        <vertAlign val="superscript"/>
        <sz val="10"/>
        <rFont val="Arial"/>
        <family val="2"/>
      </rPr>
      <t>4</t>
    </r>
  </si>
  <si>
    <t>T/m</t>
  </si>
  <si>
    <t>Para cimiento superficial</t>
  </si>
  <si>
    <t>D =</t>
  </si>
  <si>
    <r>
      <t xml:space="preserve">A </t>
    </r>
    <r>
      <rPr>
        <vertAlign val="subscript"/>
        <sz val="10"/>
        <rFont val="Arial"/>
        <family val="2"/>
      </rPr>
      <t>w</t>
    </r>
    <r>
      <rPr>
        <sz val="10"/>
        <rFont val="Arial"/>
      </rPr>
      <t xml:space="preserve"> =</t>
    </r>
  </si>
  <si>
    <r>
      <t xml:space="preserve">A </t>
    </r>
    <r>
      <rPr>
        <vertAlign val="subscript"/>
        <sz val="10"/>
        <rFont val="Arial"/>
        <family val="2"/>
      </rPr>
      <t>B</t>
    </r>
    <r>
      <rPr>
        <sz val="10"/>
        <rFont val="Arial"/>
      </rPr>
      <t xml:space="preserve"> =</t>
    </r>
  </si>
  <si>
    <t>B =</t>
  </si>
  <si>
    <t>L =</t>
  </si>
  <si>
    <r>
      <t>w</t>
    </r>
    <r>
      <rPr>
        <sz val="10"/>
        <rFont val="Arial"/>
      </rPr>
      <t xml:space="preserve"> =</t>
    </r>
  </si>
  <si>
    <t>Frecuencia de operación del equipo =</t>
  </si>
  <si>
    <t>Hz</t>
  </si>
  <si>
    <r>
      <t>K</t>
    </r>
    <r>
      <rPr>
        <b/>
        <vertAlign val="subscript"/>
        <sz val="10"/>
        <rFont val="Arial"/>
        <family val="2"/>
      </rPr>
      <t>z emb</t>
    </r>
    <r>
      <rPr>
        <b/>
        <sz val="10"/>
        <rFont val="Arial"/>
        <family val="2"/>
      </rPr>
      <t xml:space="preserve"> =</t>
    </r>
  </si>
  <si>
    <r>
      <t>S</t>
    </r>
    <r>
      <rPr>
        <vertAlign val="subscript"/>
        <sz val="10"/>
        <rFont val="Arial"/>
        <family val="2"/>
      </rPr>
      <t>y</t>
    </r>
    <r>
      <rPr>
        <sz val="10"/>
        <rFont val="Arial"/>
      </rPr>
      <t xml:space="preserve"> =</t>
    </r>
  </si>
  <si>
    <r>
      <t xml:space="preserve">A </t>
    </r>
    <r>
      <rPr>
        <vertAlign val="subscript"/>
        <sz val="10"/>
        <rFont val="Arial"/>
        <family val="2"/>
      </rPr>
      <t>B</t>
    </r>
    <r>
      <rPr>
        <sz val="10"/>
        <rFont val="Arial"/>
      </rPr>
      <t xml:space="preserve"> / 4L² =</t>
    </r>
  </si>
  <si>
    <t>Rigidez horizontal lateral</t>
  </si>
  <si>
    <r>
      <t>K</t>
    </r>
    <r>
      <rPr>
        <b/>
        <vertAlign val="subscript"/>
        <sz val="10"/>
        <rFont val="Arial"/>
        <family val="2"/>
      </rPr>
      <t>y sup</t>
    </r>
    <r>
      <rPr>
        <b/>
        <sz val="10"/>
        <rFont val="Arial"/>
        <family val="2"/>
      </rPr>
      <t xml:space="preserve"> =</t>
    </r>
  </si>
  <si>
    <t>Rigidez horizontal longitudinal</t>
  </si>
  <si>
    <r>
      <t>K</t>
    </r>
    <r>
      <rPr>
        <b/>
        <vertAlign val="subscript"/>
        <sz val="10"/>
        <rFont val="Arial"/>
        <family val="2"/>
      </rPr>
      <t>x sup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</si>
  <si>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>y emb</t>
    </r>
    <r>
      <rPr>
        <b/>
        <sz val="10"/>
        <rFont val="Arial"/>
        <family val="2"/>
      </rPr>
      <t xml:space="preserve"> =</t>
    </r>
  </si>
  <si>
    <t>d =</t>
  </si>
  <si>
    <t>Para cimiento embebido</t>
  </si>
  <si>
    <t>B / L =</t>
  </si>
  <si>
    <t>D / B =</t>
  </si>
  <si>
    <t>L / B =</t>
  </si>
  <si>
    <r>
      <t>K</t>
    </r>
    <r>
      <rPr>
        <b/>
        <vertAlign val="subscript"/>
        <sz val="10"/>
        <rFont val="Arial"/>
        <family val="2"/>
      </rPr>
      <t>x emb</t>
    </r>
    <r>
      <rPr>
        <b/>
        <sz val="10"/>
        <rFont val="Arial"/>
        <family val="2"/>
      </rPr>
      <t xml:space="preserve"> =</t>
    </r>
  </si>
  <si>
    <t>Las rigideces horizontales dinámicas son:</t>
  </si>
  <si>
    <r>
      <t>K</t>
    </r>
    <r>
      <rPr>
        <b/>
        <vertAlign val="subscript"/>
        <sz val="10"/>
        <rFont val="Arial"/>
        <family val="2"/>
      </rPr>
      <t>z sup</t>
    </r>
    <r>
      <rPr>
        <b/>
        <sz val="10"/>
        <rFont val="Arial"/>
        <family val="2"/>
      </rPr>
      <t xml:space="preserve"> =</t>
    </r>
  </si>
  <si>
    <t>Las rigideces verticales dinámicas son:</t>
  </si>
  <si>
    <t>CÁLCULO DE LAS RIGIDECES</t>
  </si>
  <si>
    <t>Rigidez por cabeceo</t>
  </si>
  <si>
    <r>
      <t>K</t>
    </r>
    <r>
      <rPr>
        <b/>
        <vertAlign val="subscript"/>
        <sz val="10"/>
        <rFont val="Arial"/>
        <family val="2"/>
      </rPr>
      <t>cx sup</t>
    </r>
    <r>
      <rPr>
        <b/>
        <sz val="10"/>
        <rFont val="Arial"/>
        <family val="2"/>
      </rPr>
      <t xml:space="preserve"> =</t>
    </r>
  </si>
  <si>
    <r>
      <t>I</t>
    </r>
    <r>
      <rPr>
        <vertAlign val="subscript"/>
        <sz val="10"/>
        <rFont val="Arial"/>
        <family val="2"/>
      </rPr>
      <t>bx</t>
    </r>
    <r>
      <rPr>
        <sz val="10"/>
        <rFont val="Arial"/>
        <family val="2"/>
      </rPr>
      <t xml:space="preserve"> =</t>
    </r>
  </si>
  <si>
    <r>
      <t>I</t>
    </r>
    <r>
      <rPr>
        <vertAlign val="subscript"/>
        <sz val="10"/>
        <rFont val="Arial"/>
        <family val="2"/>
      </rPr>
      <t>by</t>
    </r>
    <r>
      <rPr>
        <sz val="10"/>
        <rFont val="Arial"/>
        <family val="2"/>
      </rPr>
      <t xml:space="preserve"> =</t>
    </r>
  </si>
  <si>
    <r>
      <t>m</t>
    </r>
    <r>
      <rPr>
        <vertAlign val="superscript"/>
        <sz val="10"/>
        <rFont val="Arial"/>
        <family val="2"/>
      </rPr>
      <t>4</t>
    </r>
  </si>
  <si>
    <r>
      <t>K</t>
    </r>
    <r>
      <rPr>
        <b/>
        <vertAlign val="subscript"/>
        <sz val="10"/>
        <rFont val="Arial"/>
        <family val="2"/>
      </rPr>
      <t>cy sup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</si>
  <si>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>cx emb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</si>
  <si>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>cy emb</t>
    </r>
    <r>
      <rPr>
        <b/>
        <sz val="10"/>
        <rFont val="Arial"/>
        <family val="2"/>
      </rPr>
      <t xml:space="preserve"> =</t>
    </r>
  </si>
  <si>
    <t>d/B =</t>
  </si>
  <si>
    <t>d/L =</t>
  </si>
  <si>
    <t>D/d =</t>
  </si>
  <si>
    <t>y las rigideces dinámicas son:</t>
  </si>
  <si>
    <t>Rigidez torsional</t>
  </si>
  <si>
    <r>
      <t>K</t>
    </r>
    <r>
      <rPr>
        <b/>
        <vertAlign val="subscript"/>
        <sz val="10"/>
        <rFont val="Arial"/>
        <family val="2"/>
      </rPr>
      <t>t sup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</si>
  <si>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>t emb</t>
    </r>
    <r>
      <rPr>
        <b/>
        <sz val="10"/>
        <rFont val="Arial"/>
        <family val="2"/>
      </rPr>
      <t xml:space="preserve"> =</t>
    </r>
  </si>
  <si>
    <t>El coeficiente de amplificaciòn dinámico es:</t>
  </si>
  <si>
    <t>l =</t>
  </si>
  <si>
    <t>b =</t>
  </si>
  <si>
    <r>
      <t>K</t>
    </r>
    <r>
      <rPr>
        <b/>
        <vertAlign val="subscript"/>
        <sz val="10"/>
        <rFont val="Arial"/>
        <family val="2"/>
      </rPr>
      <t xml:space="preserve">t </t>
    </r>
    <r>
      <rPr>
        <b/>
        <sz val="10"/>
        <rFont val="Arial"/>
        <family val="2"/>
      </rPr>
      <t xml:space="preserve"> =</t>
    </r>
  </si>
  <si>
    <t>la correspondiente rigidez dinámica es :</t>
  </si>
  <si>
    <t>CÁLCULO DE AMORTIGUAMIENTOS</t>
  </si>
  <si>
    <r>
      <t>C</t>
    </r>
    <r>
      <rPr>
        <b/>
        <vertAlign val="subscript"/>
        <sz val="10"/>
        <rFont val="Arial"/>
        <family val="2"/>
      </rPr>
      <t>z sup</t>
    </r>
    <r>
      <rPr>
        <b/>
        <sz val="10"/>
        <rFont val="Arial"/>
        <family val="2"/>
      </rPr>
      <t xml:space="preserve"> =</t>
    </r>
  </si>
  <si>
    <r>
      <t>V</t>
    </r>
    <r>
      <rPr>
        <b/>
        <vertAlign val="subscript"/>
        <sz val="10"/>
        <rFont val="Arial"/>
        <family val="2"/>
      </rPr>
      <t>La</t>
    </r>
    <r>
      <rPr>
        <b/>
        <sz val="10"/>
        <rFont val="Arial"/>
        <family val="2"/>
      </rPr>
      <t xml:space="preserve"> =</t>
    </r>
  </si>
  <si>
    <t>De la figura 22, el coeficiente Cz =</t>
  </si>
  <si>
    <r>
      <t>C</t>
    </r>
    <r>
      <rPr>
        <b/>
        <vertAlign val="subscript"/>
        <sz val="10"/>
        <rFont val="Arial"/>
        <family val="2"/>
      </rPr>
      <t>z emb</t>
    </r>
    <r>
      <rPr>
        <b/>
        <sz val="10"/>
        <rFont val="Arial"/>
        <family val="2"/>
      </rPr>
      <t xml:space="preserve"> =</t>
    </r>
  </si>
  <si>
    <t>T-s/m</t>
  </si>
  <si>
    <t>Amortiguamiento vertical</t>
  </si>
  <si>
    <t>Amortiguamiento horizontal:</t>
  </si>
  <si>
    <r>
      <t>C</t>
    </r>
    <r>
      <rPr>
        <b/>
        <vertAlign val="subscript"/>
        <sz val="10"/>
        <rFont val="Arial"/>
        <family val="2"/>
      </rPr>
      <t>x sup</t>
    </r>
    <r>
      <rPr>
        <b/>
        <sz val="10"/>
        <rFont val="Arial"/>
        <family val="2"/>
      </rPr>
      <t xml:space="preserve"> =</t>
    </r>
  </si>
  <si>
    <t>De la figura 23, el coeficiente Cx =</t>
  </si>
  <si>
    <r>
      <t>C</t>
    </r>
    <r>
      <rPr>
        <b/>
        <vertAlign val="subscript"/>
        <sz val="10"/>
        <rFont val="Arial"/>
        <family val="2"/>
      </rPr>
      <t>y sup</t>
    </r>
    <r>
      <rPr>
        <b/>
        <sz val="10"/>
        <rFont val="Arial"/>
        <family val="2"/>
      </rPr>
      <t xml:space="preserve"> =</t>
    </r>
  </si>
  <si>
    <t>De la figura 23, el coeficiente Cy =</t>
  </si>
  <si>
    <r>
      <t>C</t>
    </r>
    <r>
      <rPr>
        <b/>
        <vertAlign val="subscript"/>
        <sz val="10"/>
        <rFont val="Arial"/>
        <family val="2"/>
      </rPr>
      <t>x emb</t>
    </r>
    <r>
      <rPr>
        <b/>
        <sz val="10"/>
        <rFont val="Arial"/>
        <family val="2"/>
      </rPr>
      <t xml:space="preserve"> =</t>
    </r>
  </si>
  <si>
    <r>
      <t>C</t>
    </r>
    <r>
      <rPr>
        <b/>
        <vertAlign val="subscript"/>
        <sz val="10"/>
        <rFont val="Arial"/>
        <family val="2"/>
      </rPr>
      <t>y emb</t>
    </r>
    <r>
      <rPr>
        <b/>
        <sz val="10"/>
        <rFont val="Arial"/>
        <family val="2"/>
      </rPr>
      <t xml:space="preserve"> =</t>
    </r>
  </si>
  <si>
    <t>y para el amortiguamiento de la cimentación embebida;</t>
  </si>
  <si>
    <t>Amortiguamiento por cabeceo</t>
  </si>
  <si>
    <t>De la figura 23, el coeficiente Cry =</t>
  </si>
  <si>
    <t>De la figura 24, el coeficiente Crx =</t>
  </si>
  <si>
    <r>
      <t>C</t>
    </r>
    <r>
      <rPr>
        <b/>
        <vertAlign val="subscript"/>
        <sz val="10"/>
        <rFont val="Arial"/>
        <family val="2"/>
      </rPr>
      <t>rx sup</t>
    </r>
    <r>
      <rPr>
        <b/>
        <sz val="10"/>
        <rFont val="Arial"/>
        <family val="2"/>
      </rPr>
      <t xml:space="preserve"> =</t>
    </r>
  </si>
  <si>
    <r>
      <t>C</t>
    </r>
    <r>
      <rPr>
        <b/>
        <vertAlign val="subscript"/>
        <sz val="10"/>
        <rFont val="Arial"/>
        <family val="2"/>
      </rPr>
      <t>ry sup</t>
    </r>
    <r>
      <rPr>
        <b/>
        <sz val="10"/>
        <rFont val="Arial"/>
        <family val="2"/>
      </rPr>
      <t xml:space="preserve"> =</t>
    </r>
  </si>
  <si>
    <t>Y en el caso de cimentación embebida, los valores son:</t>
  </si>
  <si>
    <r>
      <t>C</t>
    </r>
    <r>
      <rPr>
        <b/>
        <vertAlign val="subscript"/>
        <sz val="10"/>
        <rFont val="Arial"/>
        <family val="2"/>
      </rPr>
      <t>rx emb</t>
    </r>
    <r>
      <rPr>
        <b/>
        <sz val="10"/>
        <rFont val="Arial"/>
        <family val="2"/>
      </rPr>
      <t xml:space="preserve"> =</t>
    </r>
  </si>
  <si>
    <r>
      <t>C</t>
    </r>
    <r>
      <rPr>
        <b/>
        <vertAlign val="subscript"/>
        <sz val="10"/>
        <rFont val="Arial"/>
        <family val="2"/>
      </rPr>
      <t>ry emb</t>
    </r>
    <r>
      <rPr>
        <b/>
        <sz val="10"/>
        <rFont val="Arial"/>
        <family val="2"/>
      </rPr>
      <t xml:space="preserve"> =</t>
    </r>
  </si>
  <si>
    <r>
      <t>C</t>
    </r>
    <r>
      <rPr>
        <b/>
        <vertAlign val="subscript"/>
        <sz val="10"/>
        <rFont val="Arial"/>
        <family val="2"/>
      </rPr>
      <t xml:space="preserve">rx1 </t>
    </r>
    <r>
      <rPr>
        <b/>
        <sz val="10"/>
        <rFont val="Arial"/>
        <family val="2"/>
      </rPr>
      <t>=</t>
    </r>
  </si>
  <si>
    <r>
      <t>C</t>
    </r>
    <r>
      <rPr>
        <b/>
        <vertAlign val="subscript"/>
        <sz val="10"/>
        <rFont val="Arial"/>
        <family val="2"/>
      </rPr>
      <t xml:space="preserve">rx2 </t>
    </r>
    <r>
      <rPr>
        <b/>
        <sz val="10"/>
        <rFont val="Arial"/>
        <family val="2"/>
      </rPr>
      <t>=</t>
    </r>
  </si>
  <si>
    <r>
      <t>C</t>
    </r>
    <r>
      <rPr>
        <b/>
        <vertAlign val="subscript"/>
        <sz val="10"/>
        <rFont val="Arial"/>
        <family val="2"/>
      </rPr>
      <t xml:space="preserve">ry1 </t>
    </r>
    <r>
      <rPr>
        <b/>
        <sz val="10"/>
        <rFont val="Arial"/>
        <family val="2"/>
      </rPr>
      <t>=</t>
    </r>
  </si>
  <si>
    <r>
      <t>C</t>
    </r>
    <r>
      <rPr>
        <b/>
        <vertAlign val="subscript"/>
        <sz val="10"/>
        <rFont val="Arial"/>
        <family val="2"/>
      </rPr>
      <t xml:space="preserve">ry2 </t>
    </r>
    <r>
      <rPr>
        <b/>
        <sz val="10"/>
        <rFont val="Arial"/>
        <family val="2"/>
      </rPr>
      <t>=</t>
    </r>
  </si>
  <si>
    <t>Amortiguamiento por torsión</t>
  </si>
  <si>
    <t>De la figura 25, el coeficiente Ct =</t>
  </si>
  <si>
    <r>
      <t>C</t>
    </r>
    <r>
      <rPr>
        <b/>
        <vertAlign val="subscript"/>
        <sz val="10"/>
        <rFont val="Arial"/>
        <family val="2"/>
      </rPr>
      <t>t SUP</t>
    </r>
    <r>
      <rPr>
        <b/>
        <sz val="10"/>
        <rFont val="Arial"/>
        <family val="2"/>
      </rPr>
      <t xml:space="preserve"> =</t>
    </r>
  </si>
  <si>
    <r>
      <t>C</t>
    </r>
    <r>
      <rPr>
        <b/>
        <vertAlign val="subscript"/>
        <sz val="10"/>
        <rFont val="Arial"/>
        <family val="2"/>
      </rPr>
      <t>t emb</t>
    </r>
    <r>
      <rPr>
        <b/>
        <sz val="10"/>
        <rFont val="Arial"/>
        <family val="2"/>
      </rPr>
      <t xml:space="preserve"> =</t>
    </r>
  </si>
  <si>
    <t>De la figura 26, el coeficiente h =</t>
  </si>
  <si>
    <t>S =</t>
  </si>
  <si>
    <t>Q =</t>
  </si>
  <si>
    <r>
      <t>f</t>
    </r>
    <r>
      <rPr>
        <vertAlign val="subscript"/>
        <sz val="10"/>
        <rFont val="Arial"/>
        <family val="2"/>
      </rPr>
      <t>s</t>
    </r>
    <r>
      <rPr>
        <sz val="10"/>
        <rFont val="Arial"/>
      </rPr>
      <t xml:space="preserve"> =</t>
    </r>
  </si>
  <si>
    <r>
      <t>J</t>
    </r>
    <r>
      <rPr>
        <vertAlign val="subscript"/>
        <sz val="10"/>
        <rFont val="Arial"/>
        <family val="2"/>
      </rPr>
      <t>b</t>
    </r>
    <r>
      <rPr>
        <sz val="10"/>
        <rFont val="Arial"/>
      </rPr>
      <t xml:space="preserve"> =</t>
    </r>
  </si>
  <si>
    <t>H =</t>
  </si>
  <si>
    <t>Factores de ajuste por contacto del terreno con la cimentación</t>
  </si>
  <si>
    <t>QI =</t>
  </si>
  <si>
    <t>Suelo muy rígido o roca en la base</t>
  </si>
  <si>
    <t>QW =</t>
  </si>
  <si>
    <t>Incremento de la rigidez con la profundidad</t>
  </si>
  <si>
    <t>QC =</t>
  </si>
  <si>
    <t>Datos para análisis:</t>
  </si>
  <si>
    <r>
      <t>b</t>
    </r>
    <r>
      <rPr>
        <sz val="10"/>
        <rFont val="Arial"/>
      </rPr>
      <t xml:space="preserve"> =</t>
    </r>
  </si>
  <si>
    <r>
      <t>Kz(</t>
    </r>
    <r>
      <rPr>
        <b/>
        <sz val="11"/>
        <rFont val="Symbol"/>
        <family val="1"/>
        <charset val="2"/>
      </rPr>
      <t>b</t>
    </r>
    <r>
      <rPr>
        <b/>
        <sz val="11"/>
        <rFont val="Arial"/>
        <family val="2"/>
      </rPr>
      <t>) =</t>
    </r>
  </si>
  <si>
    <r>
      <t>Ky(</t>
    </r>
    <r>
      <rPr>
        <b/>
        <sz val="11"/>
        <rFont val="Symbol"/>
        <family val="1"/>
        <charset val="2"/>
      </rPr>
      <t>b</t>
    </r>
    <r>
      <rPr>
        <b/>
        <sz val="11"/>
        <rFont val="Arial"/>
        <family val="2"/>
      </rPr>
      <t>) =</t>
    </r>
  </si>
  <si>
    <r>
      <t>Kx(</t>
    </r>
    <r>
      <rPr>
        <b/>
        <sz val="11"/>
        <rFont val="Symbol"/>
        <family val="1"/>
        <charset val="2"/>
      </rPr>
      <t>b</t>
    </r>
    <r>
      <rPr>
        <b/>
        <sz val="11"/>
        <rFont val="Arial"/>
        <family val="2"/>
      </rPr>
      <t>) =</t>
    </r>
  </si>
  <si>
    <r>
      <t>K</t>
    </r>
    <r>
      <rPr>
        <b/>
        <vertAlign val="subscript"/>
        <sz val="10"/>
        <rFont val="Arial"/>
        <family val="2"/>
      </rPr>
      <t>cx emb</t>
    </r>
    <r>
      <rPr>
        <b/>
        <sz val="10"/>
        <rFont val="Arial"/>
        <family val="2"/>
      </rPr>
      <t xml:space="preserve"> = </t>
    </r>
  </si>
  <si>
    <r>
      <t>Kcx(</t>
    </r>
    <r>
      <rPr>
        <b/>
        <sz val="11"/>
        <rFont val="Symbol"/>
        <family val="1"/>
        <charset val="2"/>
      </rPr>
      <t>b</t>
    </r>
    <r>
      <rPr>
        <b/>
        <sz val="11"/>
        <rFont val="Arial"/>
        <family val="2"/>
      </rPr>
      <t>) =</t>
    </r>
  </si>
  <si>
    <r>
      <t>Kcy(</t>
    </r>
    <r>
      <rPr>
        <b/>
        <sz val="11"/>
        <rFont val="Symbol"/>
        <family val="1"/>
        <charset val="2"/>
      </rPr>
      <t>b</t>
    </r>
    <r>
      <rPr>
        <b/>
        <sz val="11"/>
        <rFont val="Arial"/>
        <family val="2"/>
      </rPr>
      <t>) =</t>
    </r>
  </si>
  <si>
    <r>
      <t>Kt(</t>
    </r>
    <r>
      <rPr>
        <b/>
        <sz val="11"/>
        <rFont val="Symbol"/>
        <family val="1"/>
        <charset val="2"/>
      </rPr>
      <t>b</t>
    </r>
    <r>
      <rPr>
        <b/>
        <sz val="11"/>
        <rFont val="Arial"/>
        <family val="2"/>
      </rPr>
      <t>) =</t>
    </r>
  </si>
  <si>
    <r>
      <t>Cz(</t>
    </r>
    <r>
      <rPr>
        <b/>
        <sz val="11"/>
        <rFont val="Symbol"/>
        <family val="1"/>
        <charset val="2"/>
      </rPr>
      <t>b</t>
    </r>
    <r>
      <rPr>
        <b/>
        <sz val="11"/>
        <rFont val="Arial"/>
        <family val="2"/>
      </rPr>
      <t>) =</t>
    </r>
  </si>
  <si>
    <r>
      <t>Cx(</t>
    </r>
    <r>
      <rPr>
        <b/>
        <sz val="11"/>
        <rFont val="Symbol"/>
        <family val="1"/>
        <charset val="2"/>
      </rPr>
      <t>b</t>
    </r>
    <r>
      <rPr>
        <b/>
        <sz val="11"/>
        <rFont val="Arial"/>
        <family val="2"/>
      </rPr>
      <t>) =</t>
    </r>
  </si>
  <si>
    <r>
      <t>Cy(</t>
    </r>
    <r>
      <rPr>
        <b/>
        <sz val="11"/>
        <rFont val="Symbol"/>
        <family val="1"/>
        <charset val="2"/>
      </rPr>
      <t>b</t>
    </r>
    <r>
      <rPr>
        <b/>
        <sz val="11"/>
        <rFont val="Arial"/>
        <family val="2"/>
      </rPr>
      <t>) =</t>
    </r>
  </si>
  <si>
    <r>
      <t>Crx(</t>
    </r>
    <r>
      <rPr>
        <b/>
        <sz val="11"/>
        <rFont val="Symbol"/>
        <family val="1"/>
        <charset val="2"/>
      </rPr>
      <t>b</t>
    </r>
    <r>
      <rPr>
        <b/>
        <sz val="11"/>
        <rFont val="Arial"/>
        <family val="2"/>
      </rPr>
      <t>) =</t>
    </r>
  </si>
  <si>
    <r>
      <t>Cry(</t>
    </r>
    <r>
      <rPr>
        <b/>
        <sz val="11"/>
        <rFont val="Symbol"/>
        <family val="1"/>
        <charset val="2"/>
      </rPr>
      <t>b</t>
    </r>
    <r>
      <rPr>
        <b/>
        <sz val="11"/>
        <rFont val="Arial"/>
        <family val="2"/>
      </rPr>
      <t>) =</t>
    </r>
  </si>
  <si>
    <r>
      <t>Ct(</t>
    </r>
    <r>
      <rPr>
        <b/>
        <sz val="11"/>
        <rFont val="Symbol"/>
        <family val="1"/>
        <charset val="2"/>
      </rPr>
      <t>b</t>
    </r>
    <r>
      <rPr>
        <b/>
        <sz val="11"/>
        <rFont val="Arial"/>
        <family val="2"/>
      </rPr>
      <t>) =</t>
    </r>
  </si>
  <si>
    <t>Coordenadas de la base de la cimentación</t>
  </si>
  <si>
    <t>Punto</t>
  </si>
  <si>
    <t>X</t>
  </si>
  <si>
    <t>Y</t>
  </si>
  <si>
    <t>(m)</t>
  </si>
  <si>
    <r>
      <t>X</t>
    </r>
    <r>
      <rPr>
        <vertAlign val="subscript"/>
        <sz val="10"/>
        <rFont val="Arial"/>
        <family val="2"/>
      </rPr>
      <t>12</t>
    </r>
    <r>
      <rPr>
        <sz val="10"/>
        <rFont val="Arial"/>
        <family val="2"/>
      </rPr>
      <t xml:space="preserve"> =</t>
    </r>
  </si>
  <si>
    <r>
      <t>X</t>
    </r>
    <r>
      <rPr>
        <vertAlign val="subscript"/>
        <sz val="10"/>
        <rFont val="Arial"/>
        <family val="2"/>
      </rPr>
      <t>23</t>
    </r>
    <r>
      <rPr>
        <sz val="10"/>
        <rFont val="Arial"/>
        <family val="2"/>
      </rPr>
      <t xml:space="preserve"> =</t>
    </r>
  </si>
  <si>
    <r>
      <t>X</t>
    </r>
    <r>
      <rPr>
        <vertAlign val="subscript"/>
        <sz val="10"/>
        <rFont val="Arial"/>
        <family val="2"/>
      </rPr>
      <t>34</t>
    </r>
    <r>
      <rPr>
        <sz val="10"/>
        <rFont val="Arial"/>
        <family val="2"/>
      </rPr>
      <t xml:space="preserve"> =</t>
    </r>
  </si>
  <si>
    <r>
      <t>X</t>
    </r>
    <r>
      <rPr>
        <vertAlign val="subscript"/>
        <sz val="10"/>
        <rFont val="Arial"/>
        <family val="2"/>
      </rPr>
      <t>41</t>
    </r>
    <r>
      <rPr>
        <sz val="10"/>
        <rFont val="Arial"/>
        <family val="2"/>
      </rPr>
      <t xml:space="preserve"> =</t>
    </r>
  </si>
  <si>
    <r>
      <t>X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 xml:space="preserve"> =</t>
    </r>
  </si>
  <si>
    <t>CÁLCULO DE LOS PUNTOS DE APLICACIÓN DE LAS REACCIONES DEL TERRENO</t>
  </si>
  <si>
    <r>
      <t>Y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</si>
  <si>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 xml:space="preserve"> wz</t>
    </r>
    <r>
      <rPr>
        <b/>
        <sz val="10"/>
        <rFont val="Arial"/>
        <family val="2"/>
      </rPr>
      <t xml:space="preserve"> =</t>
    </r>
  </si>
  <si>
    <r>
      <t>K´</t>
    </r>
    <r>
      <rPr>
        <b/>
        <vertAlign val="subscript"/>
        <sz val="10"/>
        <rFont val="Arial"/>
        <family val="2"/>
      </rPr>
      <t xml:space="preserve"> wz</t>
    </r>
    <r>
      <rPr>
        <b/>
        <sz val="10"/>
        <rFont val="Arial"/>
        <family val="2"/>
      </rPr>
      <t xml:space="preserve"> =</t>
    </r>
  </si>
  <si>
    <t>T/(m²-m)</t>
  </si>
  <si>
    <t>Cálculo de las áreas laterales</t>
  </si>
  <si>
    <r>
      <t>A</t>
    </r>
    <r>
      <rPr>
        <b/>
        <vertAlign val="subscript"/>
        <sz val="10"/>
        <rFont val="Arial"/>
        <family val="2"/>
      </rPr>
      <t>w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=</t>
    </r>
  </si>
  <si>
    <r>
      <t>A</t>
    </r>
    <r>
      <rPr>
        <b/>
        <vertAlign val="subscript"/>
        <sz val="10"/>
        <rFont val="Arial"/>
        <family val="2"/>
      </rPr>
      <t>w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=</t>
    </r>
  </si>
  <si>
    <r>
      <t>A</t>
    </r>
    <r>
      <rPr>
        <b/>
        <vertAlign val="subscript"/>
        <sz val="10"/>
        <rFont val="Arial"/>
        <family val="2"/>
      </rPr>
      <t>w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=</t>
    </r>
  </si>
  <si>
    <t>Contacto entre el suelo y las paredes laterales</t>
  </si>
  <si>
    <r>
      <t>K</t>
    </r>
    <r>
      <rPr>
        <b/>
        <vertAlign val="subscript"/>
        <sz val="10"/>
        <rFont val="Arial"/>
        <family val="2"/>
      </rPr>
      <t xml:space="preserve"> basez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</si>
  <si>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 xml:space="preserve"> basex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</si>
  <si>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 xml:space="preserve"> wx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</si>
  <si>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 xml:space="preserve"> wy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</si>
  <si>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 xml:space="preserve"> basey</t>
    </r>
    <r>
      <rPr>
        <b/>
        <sz val="10"/>
        <rFont val="Arial"/>
        <family val="2"/>
      </rPr>
      <t xml:space="preserve"> =</t>
    </r>
  </si>
  <si>
    <r>
      <t>a(l/B)</t>
    </r>
    <r>
      <rPr>
        <vertAlign val="superscript"/>
        <sz val="10"/>
        <rFont val="Arial"/>
        <family val="2"/>
      </rPr>
      <t>0.6</t>
    </r>
    <r>
      <rPr>
        <sz val="10"/>
        <rFont val="Arial"/>
        <family val="2"/>
      </rPr>
      <t>(d/B)</t>
    </r>
    <r>
      <rPr>
        <vertAlign val="superscript"/>
        <sz val="10"/>
        <rFont val="Arial"/>
        <family val="2"/>
      </rPr>
      <t>0.1</t>
    </r>
    <r>
      <rPr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</si>
  <si>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>wZ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=</t>
    </r>
  </si>
  <si>
    <r>
      <t>Z</t>
    </r>
    <r>
      <rPr>
        <b/>
        <vertAlign val="subscript"/>
        <sz val="10"/>
        <rFont val="Arial"/>
        <family val="2"/>
      </rPr>
      <t>x</t>
    </r>
    <r>
      <rPr>
        <b/>
        <sz val="10"/>
        <rFont val="Arial"/>
        <family val="2"/>
      </rPr>
      <t xml:space="preserve"> =</t>
    </r>
  </si>
  <si>
    <r>
      <t>Z</t>
    </r>
    <r>
      <rPr>
        <b/>
        <vertAlign val="subscript"/>
        <sz val="10"/>
        <rFont val="Arial"/>
        <family val="2"/>
      </rPr>
      <t>y</t>
    </r>
    <r>
      <rPr>
        <b/>
        <sz val="10"/>
        <rFont val="Arial"/>
        <family val="2"/>
      </rPr>
      <t xml:space="preserve"> =</t>
    </r>
  </si>
  <si>
    <r>
      <t>y</t>
    </r>
    <r>
      <rPr>
        <vertAlign val="subscript"/>
        <sz val="10"/>
        <rFont val="Arial"/>
        <family val="2"/>
      </rPr>
      <t>12</t>
    </r>
    <r>
      <rPr>
        <sz val="10"/>
        <rFont val="Arial"/>
        <family val="2"/>
      </rPr>
      <t xml:space="preserve"> =</t>
    </r>
  </si>
  <si>
    <r>
      <t>y</t>
    </r>
    <r>
      <rPr>
        <vertAlign val="subscript"/>
        <sz val="10"/>
        <rFont val="Arial"/>
        <family val="2"/>
      </rPr>
      <t>23</t>
    </r>
    <r>
      <rPr>
        <sz val="10"/>
        <rFont val="Arial"/>
        <family val="2"/>
      </rPr>
      <t xml:space="preserve"> =</t>
    </r>
  </si>
  <si>
    <r>
      <t>y</t>
    </r>
    <r>
      <rPr>
        <vertAlign val="subscript"/>
        <sz val="10"/>
        <rFont val="Arial"/>
        <family val="2"/>
      </rPr>
      <t>34</t>
    </r>
    <r>
      <rPr>
        <sz val="10"/>
        <rFont val="Arial"/>
        <family val="2"/>
      </rPr>
      <t xml:space="preserve"> =</t>
    </r>
  </si>
  <si>
    <r>
      <t>y</t>
    </r>
    <r>
      <rPr>
        <vertAlign val="subscript"/>
        <sz val="10"/>
        <rFont val="Arial"/>
        <family val="2"/>
      </rPr>
      <t>41</t>
    </r>
    <r>
      <rPr>
        <sz val="10"/>
        <rFont val="Arial"/>
        <family val="2"/>
      </rPr>
      <t xml:space="preserve"> =</t>
    </r>
  </si>
  <si>
    <t>Cálculo del centroide por reacciones verticales.</t>
  </si>
  <si>
    <r>
      <t>K</t>
    </r>
    <r>
      <rPr>
        <b/>
        <vertAlign val="subscript"/>
        <sz val="10"/>
        <rFont val="Arial"/>
        <family val="2"/>
      </rPr>
      <t>wZ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</si>
  <si>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>wZ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</si>
  <si>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>wZ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=</t>
    </r>
  </si>
  <si>
    <t>Cálculo del centroide por reacciones en sentido longitudinal.</t>
  </si>
  <si>
    <r>
      <t>K</t>
    </r>
    <r>
      <rPr>
        <b/>
        <vertAlign val="subscript"/>
        <sz val="10"/>
        <rFont val="Arial"/>
        <family val="2"/>
      </rPr>
      <t>wx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</si>
  <si>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>wx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</si>
  <si>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>wx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</si>
  <si>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>wx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</si>
  <si>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>wx</t>
    </r>
    <r>
      <rPr>
        <b/>
        <sz val="10"/>
        <rFont val="Arial"/>
        <family val="2"/>
      </rPr>
      <t xml:space="preserve"> =</t>
    </r>
  </si>
  <si>
    <r>
      <t>A</t>
    </r>
    <r>
      <rPr>
        <b/>
        <vertAlign val="subscript"/>
        <sz val="10"/>
        <rFont val="Arial"/>
        <family val="2"/>
      </rPr>
      <t>w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=</t>
    </r>
  </si>
  <si>
    <r>
      <t>X</t>
    </r>
    <r>
      <rPr>
        <b/>
        <vertAlign val="subscript"/>
        <sz val="10"/>
        <rFont val="Arial"/>
        <family val="2"/>
      </rPr>
      <t>y</t>
    </r>
    <r>
      <rPr>
        <b/>
        <sz val="10"/>
        <rFont val="Arial"/>
        <family val="2"/>
      </rPr>
      <t xml:space="preserve"> =</t>
    </r>
  </si>
  <si>
    <r>
      <t>Z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 xml:space="preserve"> =</t>
    </r>
  </si>
  <si>
    <r>
      <t>Z</t>
    </r>
    <r>
      <rPr>
        <vertAlign val="subscript"/>
        <sz val="10"/>
        <rFont val="Arial"/>
        <family val="2"/>
      </rPr>
      <t>12</t>
    </r>
    <r>
      <rPr>
        <sz val="10"/>
        <rFont val="Arial"/>
        <family val="2"/>
      </rPr>
      <t xml:space="preserve"> =</t>
    </r>
  </si>
  <si>
    <r>
      <t>Z</t>
    </r>
    <r>
      <rPr>
        <vertAlign val="subscript"/>
        <sz val="10"/>
        <rFont val="Arial"/>
        <family val="2"/>
      </rPr>
      <t>23</t>
    </r>
    <r>
      <rPr>
        <sz val="10"/>
        <rFont val="Arial"/>
        <family val="2"/>
      </rPr>
      <t xml:space="preserve"> =</t>
    </r>
  </si>
  <si>
    <r>
      <t>Z</t>
    </r>
    <r>
      <rPr>
        <vertAlign val="subscript"/>
        <sz val="10"/>
        <rFont val="Arial"/>
        <family val="2"/>
      </rPr>
      <t>34</t>
    </r>
    <r>
      <rPr>
        <sz val="10"/>
        <rFont val="Arial"/>
        <family val="2"/>
      </rPr>
      <t xml:space="preserve"> =</t>
    </r>
  </si>
  <si>
    <r>
      <t>Z</t>
    </r>
    <r>
      <rPr>
        <vertAlign val="subscript"/>
        <sz val="10"/>
        <rFont val="Arial"/>
        <family val="2"/>
      </rPr>
      <t>41</t>
    </r>
    <r>
      <rPr>
        <sz val="10"/>
        <rFont val="Arial"/>
        <family val="2"/>
      </rPr>
      <t xml:space="preserve"> =</t>
    </r>
  </si>
  <si>
    <r>
      <t>Z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</si>
  <si>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Z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</si>
  <si>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Z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</si>
  <si>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r>
      <t>Z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 xml:space="preserve"> =</t>
    </r>
  </si>
  <si>
    <r>
      <t>X</t>
    </r>
    <r>
      <rPr>
        <b/>
        <vertAlign val="subscript"/>
        <sz val="10"/>
        <rFont val="Arial"/>
        <family val="2"/>
      </rPr>
      <t>z</t>
    </r>
    <r>
      <rPr>
        <b/>
        <sz val="10"/>
        <rFont val="Arial"/>
        <family val="2"/>
      </rPr>
      <t xml:space="preserve"> =</t>
    </r>
  </si>
  <si>
    <t>Cálculo del centroide por reacciones en sentido lateral.</t>
  </si>
  <si>
    <r>
      <t>K</t>
    </r>
    <r>
      <rPr>
        <b/>
        <vertAlign val="subscript"/>
        <sz val="10"/>
        <rFont val="Arial"/>
        <family val="2"/>
      </rPr>
      <t>wy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</si>
  <si>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>wy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</si>
  <si>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>wy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</si>
  <si>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>wy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=</t>
    </r>
  </si>
  <si>
    <r>
      <t>K</t>
    </r>
    <r>
      <rPr>
        <b/>
        <vertAlign val="subscript"/>
        <sz val="10"/>
        <rFont val="Arial"/>
        <family val="2"/>
      </rPr>
      <t>wy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=</t>
    </r>
  </si>
  <si>
    <r>
      <t>Y</t>
    </r>
    <r>
      <rPr>
        <b/>
        <vertAlign val="subscript"/>
        <sz val="10"/>
        <rFont val="Arial"/>
        <family val="2"/>
      </rPr>
      <t>x</t>
    </r>
    <r>
      <rPr>
        <b/>
        <sz val="10"/>
        <rFont val="Arial"/>
        <family val="2"/>
      </rPr>
      <t xml:space="preserve"> =</t>
    </r>
  </si>
  <si>
    <t>Las acciones que actuan sobre la cimentación son:</t>
  </si>
  <si>
    <t>Peso de la cimentación</t>
  </si>
  <si>
    <t>Bloque</t>
  </si>
  <si>
    <t>Volumen</t>
  </si>
  <si>
    <t>WX</t>
  </si>
  <si>
    <t>WY</t>
  </si>
  <si>
    <t>Base</t>
  </si>
  <si>
    <t>Bloque ext</t>
  </si>
  <si>
    <t>B</t>
  </si>
  <si>
    <t>Figura</t>
  </si>
  <si>
    <t>Bloque int</t>
  </si>
  <si>
    <t>L</t>
  </si>
  <si>
    <t>H</t>
  </si>
  <si>
    <t>Totales</t>
  </si>
  <si>
    <t>X =</t>
  </si>
  <si>
    <t>Y =</t>
  </si>
  <si>
    <t>Carcaza</t>
  </si>
  <si>
    <t>Rotor</t>
  </si>
  <si>
    <t>Motor</t>
  </si>
  <si>
    <t>Centro de cargas estáticas</t>
  </si>
  <si>
    <t>MX =</t>
  </si>
  <si>
    <t>My =</t>
  </si>
  <si>
    <t>T-m</t>
  </si>
  <si>
    <t>Momentos de volteo</t>
  </si>
  <si>
    <t>Esfuerzo estático transmitido por la cimentación</t>
  </si>
  <si>
    <t>De las gráficas de las figuras 18 a 20, de tesis de utv, obtenemos los valores de los factores</t>
  </si>
  <si>
    <t>de rigidez dinámica</t>
  </si>
  <si>
    <r>
      <rPr>
        <b/>
        <sz val="10"/>
        <rFont val="Symbol"/>
        <family val="1"/>
        <charset val="2"/>
      </rPr>
      <t>s</t>
    </r>
    <r>
      <rPr>
        <b/>
        <vertAlign val="subscript"/>
        <sz val="10"/>
        <rFont val="Arial"/>
        <family val="2"/>
      </rPr>
      <t>x</t>
    </r>
    <r>
      <rPr>
        <b/>
        <sz val="10"/>
        <rFont val="Arial"/>
        <family val="2"/>
      </rPr>
      <t xml:space="preserve"> =</t>
    </r>
  </si>
  <si>
    <r>
      <rPr>
        <b/>
        <sz val="10"/>
        <rFont val="Symbol"/>
        <family val="1"/>
        <charset val="2"/>
      </rPr>
      <t>s</t>
    </r>
    <r>
      <rPr>
        <b/>
        <vertAlign val="subscript"/>
        <sz val="10"/>
        <rFont val="Arial"/>
        <family val="2"/>
      </rPr>
      <t>y</t>
    </r>
    <r>
      <rPr>
        <b/>
        <sz val="10"/>
        <rFont val="Arial"/>
        <family val="2"/>
      </rPr>
      <t xml:space="preserve"> =</t>
    </r>
  </si>
  <si>
    <t>Respuesta del sistema</t>
  </si>
  <si>
    <t>Md =</t>
  </si>
  <si>
    <t>T</t>
  </si>
  <si>
    <t>e=</t>
  </si>
  <si>
    <r>
      <t>Q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 M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>*e*w²</t>
    </r>
  </si>
  <si>
    <r>
      <t>Q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 =</t>
    </r>
  </si>
  <si>
    <t>De manera gràfica tenemos:</t>
  </si>
  <si>
    <t>t</t>
  </si>
  <si>
    <t>Excentricidad en x =</t>
  </si>
  <si>
    <t>Excentricidad en y =</t>
  </si>
  <si>
    <t>CÁLCULO DE LOS MOMENTOS DE INERCIA DE LA MASA</t>
  </si>
  <si>
    <t>Masa</t>
  </si>
  <si>
    <t>(a²+b²)/12</t>
  </si>
  <si>
    <t>r²</t>
  </si>
  <si>
    <t>I</t>
  </si>
  <si>
    <t>Peralte cim =</t>
  </si>
  <si>
    <t>mr²</t>
  </si>
  <si>
    <t>t-m-s²</t>
  </si>
  <si>
    <t>Ixm =</t>
  </si>
  <si>
    <t>Ixm</t>
  </si>
  <si>
    <t>Iym</t>
  </si>
  <si>
    <t>Izm</t>
  </si>
  <si>
    <t>La matriz de rigideces queda:</t>
  </si>
  <si>
    <t>Masa de la cimentación =</t>
  </si>
  <si>
    <t>T-s²/m</t>
  </si>
  <si>
    <t>M =</t>
  </si>
  <si>
    <t>La matriz de rigideces esta dada por:</t>
  </si>
  <si>
    <r>
      <t>Y</t>
    </r>
    <r>
      <rPr>
        <b/>
        <vertAlign val="subscript"/>
        <sz val="10"/>
        <rFont val="Arial"/>
        <family val="2"/>
      </rPr>
      <t>z</t>
    </r>
    <r>
      <rPr>
        <b/>
        <sz val="10"/>
        <rFont val="Arial"/>
        <family val="2"/>
      </rPr>
      <t xml:space="preserve"> =</t>
    </r>
  </si>
  <si>
    <t>Mw² =</t>
  </si>
  <si>
    <t>A =</t>
  </si>
  <si>
    <t>K =</t>
  </si>
  <si>
    <t>El vector de fuerzas queda dado por:</t>
  </si>
  <si>
    <t>Solución del sistema</t>
  </si>
  <si>
    <t>u =</t>
  </si>
  <si>
    <t>w=</t>
  </si>
  <si>
    <r>
      <rPr>
        <sz val="10"/>
        <rFont val="Symbol"/>
        <family val="1"/>
        <charset val="2"/>
      </rPr>
      <t>q</t>
    </r>
    <r>
      <rPr>
        <vertAlign val="subscript"/>
        <sz val="10"/>
        <rFont val="Arial"/>
        <family val="2"/>
      </rPr>
      <t>x</t>
    </r>
    <r>
      <rPr>
        <sz val="10"/>
        <rFont val="Arial"/>
        <family val="2"/>
      </rPr>
      <t>=</t>
    </r>
  </si>
  <si>
    <r>
      <rPr>
        <sz val="10"/>
        <rFont val="Symbol"/>
        <family val="1"/>
        <charset val="2"/>
      </rPr>
      <t>q</t>
    </r>
    <r>
      <rPr>
        <vertAlign val="subscript"/>
        <sz val="10"/>
        <rFont val="Arial"/>
        <family val="2"/>
      </rPr>
      <t>y</t>
    </r>
    <r>
      <rPr>
        <sz val="10"/>
        <rFont val="Arial"/>
        <family val="2"/>
      </rPr>
      <t>=</t>
    </r>
  </si>
  <si>
    <r>
      <rPr>
        <sz val="10"/>
        <rFont val="Symbol"/>
        <family val="1"/>
        <charset val="2"/>
      </rPr>
      <t>q</t>
    </r>
    <r>
      <rPr>
        <vertAlign val="subscript"/>
        <sz val="10"/>
        <rFont val="Arial"/>
        <family val="2"/>
      </rPr>
      <t>z</t>
    </r>
    <r>
      <rPr>
        <sz val="10"/>
        <rFont val="Arial"/>
        <family val="2"/>
      </rPr>
      <t>=</t>
    </r>
  </si>
  <si>
    <t>rad</t>
  </si>
  <si>
    <t>m</t>
  </si>
  <si>
    <t>º</t>
  </si>
  <si>
    <r>
      <t>Sen (</t>
    </r>
    <r>
      <rPr>
        <sz val="10"/>
        <rFont val="Symbol"/>
        <family val="1"/>
        <charset val="2"/>
      </rPr>
      <t>q</t>
    </r>
    <r>
      <rPr>
        <sz val="10"/>
        <rFont val="Arial"/>
        <family val="2"/>
      </rPr>
      <t>) =</t>
    </r>
  </si>
  <si>
    <t>rad/s</t>
  </si>
  <si>
    <t>Qy</t>
  </si>
  <si>
    <t>Qz</t>
  </si>
  <si>
    <t>mils</t>
  </si>
  <si>
    <t>plg</t>
  </si>
  <si>
    <t>Q</t>
  </si>
  <si>
    <t>v =</t>
  </si>
  <si>
    <r>
      <t>A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=</t>
    </r>
  </si>
  <si>
    <t>P =</t>
  </si>
  <si>
    <t>Frecuencia crìtica del rotor =</t>
  </si>
  <si>
    <t>De la figura 24, el coeficiente Cry =</t>
  </si>
  <si>
    <t>Resumenes</t>
  </si>
  <si>
    <t>G</t>
  </si>
  <si>
    <t>1.1G</t>
  </si>
  <si>
    <t>1.5G</t>
  </si>
  <si>
    <t>6G</t>
  </si>
  <si>
    <t>Rad</t>
  </si>
  <si>
    <t>3G</t>
  </si>
  <si>
    <t>Frecuencia adimensional (ao) =</t>
  </si>
</sst>
</file>

<file path=xl/styles.xml><?xml version="1.0" encoding="utf-8"?>
<styleSheet xmlns="http://schemas.openxmlformats.org/spreadsheetml/2006/main">
  <numFmts count="10">
    <numFmt numFmtId="164" formatCode="#,##0.000"/>
    <numFmt numFmtId="165" formatCode="0.00\ &quot;m²&quot;"/>
    <numFmt numFmtId="166" formatCode="0.00\ &quot;m&quot;"/>
    <numFmt numFmtId="167" formatCode="#,##0.0\ &quot;T/m&quot;"/>
    <numFmt numFmtId="168" formatCode="0.00\ &quot;oz&quot;"/>
    <numFmt numFmtId="169" formatCode="0.000"/>
    <numFmt numFmtId="170" formatCode="0.000E+00"/>
    <numFmt numFmtId="171" formatCode="0.000000"/>
    <numFmt numFmtId="172" formatCode="#,##0.00000000"/>
    <numFmt numFmtId="173" formatCode="0.0000"/>
  </numFmts>
  <fonts count="17">
    <font>
      <sz val="10"/>
      <name val="Arial"/>
    </font>
    <font>
      <sz val="8"/>
      <name val="Arial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sz val="10"/>
      <color indexed="10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b/>
      <sz val="11"/>
      <name val="Symbol"/>
      <family val="1"/>
      <charset val="2"/>
    </font>
    <font>
      <b/>
      <vertAlign val="superscript"/>
      <sz val="10"/>
      <name val="Arial"/>
      <family val="2"/>
    </font>
    <font>
      <b/>
      <sz val="1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/>
      <bottom style="medium">
        <color rgb="FF00B0F0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right"/>
    </xf>
    <xf numFmtId="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1" xfId="0" applyBorder="1"/>
    <xf numFmtId="0" fontId="0" fillId="0" borderId="0" xfId="0" applyFont="1" applyAlignment="1">
      <alignment horizontal="right"/>
    </xf>
    <xf numFmtId="0" fontId="6" fillId="0" borderId="0" xfId="0" applyFont="1" applyFill="1" applyBorder="1"/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right"/>
    </xf>
    <xf numFmtId="4" fontId="0" fillId="0" borderId="2" xfId="0" applyNumberFormat="1" applyBorder="1"/>
    <xf numFmtId="2" fontId="10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3" fontId="8" fillId="0" borderId="0" xfId="0" applyNumberFormat="1" applyFont="1"/>
    <xf numFmtId="3" fontId="6" fillId="0" borderId="0" xfId="0" applyNumberFormat="1" applyFont="1"/>
    <xf numFmtId="0" fontId="9" fillId="0" borderId="0" xfId="0" applyFont="1" applyAlignment="1">
      <alignment horizontal="center"/>
    </xf>
    <xf numFmtId="165" fontId="0" fillId="0" borderId="0" xfId="0" applyNumberFormat="1"/>
    <xf numFmtId="3" fontId="0" fillId="0" borderId="0" xfId="0" applyNumberFormat="1"/>
    <xf numFmtId="166" fontId="0" fillId="0" borderId="0" xfId="0" applyNumberFormat="1" applyAlignment="1">
      <alignment horizontal="left"/>
    </xf>
    <xf numFmtId="166" fontId="9" fillId="0" borderId="0" xfId="0" applyNumberFormat="1" applyFont="1" applyAlignment="1">
      <alignment horizontal="left"/>
    </xf>
    <xf numFmtId="167" fontId="0" fillId="0" borderId="0" xfId="0" applyNumberFormat="1"/>
    <xf numFmtId="166" fontId="10" fillId="0" borderId="0" xfId="0" applyNumberFormat="1" applyFont="1" applyAlignment="1">
      <alignment horizontal="left"/>
    </xf>
    <xf numFmtId="166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/>
    <xf numFmtId="0" fontId="6" fillId="0" borderId="2" xfId="0" applyFont="1" applyBorder="1"/>
    <xf numFmtId="166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6" fontId="10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4" fontId="9" fillId="0" borderId="0" xfId="0" applyNumberFormat="1" applyFont="1"/>
    <xf numFmtId="4" fontId="10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/>
    <xf numFmtId="169" fontId="0" fillId="0" borderId="0" xfId="0" applyNumberFormat="1"/>
    <xf numFmtId="171" fontId="0" fillId="0" borderId="0" xfId="0" applyNumberFormat="1"/>
    <xf numFmtId="172" fontId="0" fillId="0" borderId="0" xfId="0" applyNumberFormat="1" applyAlignment="1">
      <alignment horizontal="center"/>
    </xf>
    <xf numFmtId="173" fontId="0" fillId="0" borderId="0" xfId="0" applyNumberFormat="1"/>
    <xf numFmtId="11" fontId="0" fillId="0" borderId="0" xfId="0" applyNumberFormat="1"/>
    <xf numFmtId="11" fontId="0" fillId="0" borderId="0" xfId="0" applyNumberFormat="1" applyAlignment="1">
      <alignment horizontal="righ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600"/>
            </a:pPr>
            <a:r>
              <a:rPr lang="es-MX" sz="1600"/>
              <a:t>Cimentación</a:t>
            </a:r>
          </a:p>
        </c:rich>
      </c:tx>
      <c:layout/>
      <c:spPr>
        <a:ln>
          <a:noFill/>
        </a:ln>
      </c:spPr>
    </c:title>
    <c:plotArea>
      <c:layout>
        <c:manualLayout>
          <c:layoutTarget val="inner"/>
          <c:xMode val="edge"/>
          <c:yMode val="edge"/>
          <c:x val="3.7597112860892491E-2"/>
          <c:y val="0.13414370078740218"/>
          <c:w val="0.92610433070866138"/>
          <c:h val="0.72483860570060321"/>
        </c:manualLayout>
      </c:layout>
      <c:scatterChart>
        <c:scatterStyle val="lineMarker"/>
        <c:ser>
          <c:idx val="0"/>
          <c:order val="0"/>
          <c:marker>
            <c:symbol val="none"/>
          </c:marker>
          <c:dLbls>
            <c:dLbl>
              <c:idx val="1"/>
              <c:layout>
                <c:manualLayout>
                  <c:x val="-2.1872265966117798E-7"/>
                  <c:y val="-4.6783625730994163E-2"/>
                </c:manualLayout>
              </c:layout>
              <c:showVal val="1"/>
              <c:showCatName val="1"/>
            </c:dLbl>
            <c:dLbl>
              <c:idx val="2"/>
              <c:layout>
                <c:manualLayout>
                  <c:x val="-3.6111111111111011E-2"/>
                  <c:y val="-4.6783625730994163E-2"/>
                </c:manualLayout>
              </c:layout>
              <c:showVal val="1"/>
              <c:showCatName val="1"/>
            </c:dLbl>
            <c:dLbl>
              <c:idx val="3"/>
              <c:layout>
                <c:manualLayout>
                  <c:x val="-0.11666666666666672"/>
                  <c:y val="-3.7426900584795461E-2"/>
                </c:manualLayout>
              </c:layout>
              <c:showVal val="1"/>
              <c:showCatName val="1"/>
            </c:dLbl>
            <c:dLbl>
              <c:idx val="4"/>
              <c:layout>
                <c:manualLayout>
                  <c:x val="-6.3656672040101035E-18"/>
                  <c:y val="-5.6140350877192845E-2"/>
                </c:manualLayout>
              </c:layout>
              <c:showVal val="1"/>
              <c:showCatName val="1"/>
            </c:dLbl>
            <c:showVal val="1"/>
            <c:showCatName val="1"/>
          </c:dLbls>
          <c:xVal>
            <c:numRef>
              <c:f>'Análisis ok'!$B$156:$B$160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11.39</c:v>
                </c:pt>
                <c:pt idx="3">
                  <c:v>11.39</c:v>
                </c:pt>
                <c:pt idx="4">
                  <c:v>0</c:v>
                </c:pt>
              </c:numCache>
            </c:numRef>
          </c:xVal>
          <c:yVal>
            <c:numRef>
              <c:f>'Análisis ok'!$C$156:$C$160</c:f>
              <c:numCache>
                <c:formatCode>General</c:formatCode>
                <c:ptCount val="5"/>
                <c:pt idx="0">
                  <c:v>0</c:v>
                </c:pt>
                <c:pt idx="1">
                  <c:v>5.52</c:v>
                </c:pt>
                <c:pt idx="2">
                  <c:v>5.52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</c:ser>
        <c:ser>
          <c:idx val="1"/>
          <c:order val="1"/>
          <c:tx>
            <c:v>CG</c:v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5"/>
          </c:marker>
          <c:dLbls>
            <c:showVal val="1"/>
            <c:showCatName val="1"/>
          </c:dLbls>
          <c:xVal>
            <c:numRef>
              <c:f>'Análisis ok'!$E$155</c:f>
              <c:numCache>
                <c:formatCode>0.00\ "m"</c:formatCode>
                <c:ptCount val="1"/>
                <c:pt idx="0">
                  <c:v>5.6950000000000003</c:v>
                </c:pt>
              </c:numCache>
            </c:numRef>
          </c:xVal>
          <c:yVal>
            <c:numRef>
              <c:f>'Análisis ok'!$G$155</c:f>
              <c:numCache>
                <c:formatCode>0.00\ "m"</c:formatCode>
                <c:ptCount val="1"/>
                <c:pt idx="0">
                  <c:v>2.76</c:v>
                </c:pt>
              </c:numCache>
            </c:numRef>
          </c:yVal>
        </c:ser>
        <c:dLbls>
          <c:showVal val="1"/>
          <c:showCatName val="1"/>
        </c:dLbls>
        <c:axId val="97831168"/>
        <c:axId val="97838208"/>
      </c:scatterChart>
      <c:valAx>
        <c:axId val="97831168"/>
        <c:scaling>
          <c:orientation val="minMax"/>
        </c:scaling>
        <c:axPos val="b"/>
        <c:numFmt formatCode="General" sourceLinked="1"/>
        <c:majorTickMark val="none"/>
        <c:tickLblPos val="nextTo"/>
        <c:crossAx val="97838208"/>
        <c:crosses val="autoZero"/>
        <c:crossBetween val="midCat"/>
      </c:valAx>
      <c:valAx>
        <c:axId val="97838208"/>
        <c:scaling>
          <c:orientation val="minMax"/>
        </c:scaling>
        <c:delete val="1"/>
        <c:axPos val="l"/>
        <c:numFmt formatCode="General" sourceLinked="1"/>
        <c:tickLblPos val="nextTo"/>
        <c:crossAx val="97831168"/>
        <c:crosses val="autoZero"/>
        <c:crossBetween val="midCat"/>
      </c:valAx>
      <c:spPr>
        <a:ln w="0"/>
      </c:spPr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Fuerza</a:t>
            </a:r>
            <a:r>
              <a:rPr lang="es-MX" baseline="0"/>
              <a:t>s dinámicas</a:t>
            </a:r>
            <a:endParaRPr lang="es-MX"/>
          </a:p>
        </c:rich>
      </c:tx>
      <c:layout/>
    </c:title>
    <c:plotArea>
      <c:layout/>
      <c:scatterChart>
        <c:scatterStyle val="smoothMarker"/>
        <c:ser>
          <c:idx val="0"/>
          <c:order val="0"/>
          <c:xVal>
            <c:numRef>
              <c:f>'Análisis ok 3G'!$A$247:$A$267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'Análisis ok 3G'!$B$247:$B$267</c:f>
              <c:numCache>
                <c:formatCode>0.000</c:formatCode>
                <c:ptCount val="21"/>
                <c:pt idx="0">
                  <c:v>0.3613199469049877</c:v>
                </c:pt>
                <c:pt idx="1">
                  <c:v>0.17406721194771191</c:v>
                </c:pt>
                <c:pt idx="2">
                  <c:v>-0.1936049091120858</c:v>
                </c:pt>
                <c:pt idx="3">
                  <c:v>-0.36060696452546109</c:v>
                </c:pt>
                <c:pt idx="4">
                  <c:v>-0.15384255102152453</c:v>
                </c:pt>
                <c:pt idx="5">
                  <c:v>0.21237853614986327</c:v>
                </c:pt>
                <c:pt idx="6">
                  <c:v>0.35847083120260265</c:v>
                </c:pt>
                <c:pt idx="7">
                  <c:v>0.13301074383043077</c:v>
                </c:pt>
                <c:pt idx="8">
                  <c:v>-0.23031400213198036</c:v>
                </c:pt>
                <c:pt idx="9">
                  <c:v>-0.35491997727873109</c:v>
                </c:pt>
                <c:pt idx="10">
                  <c:v>-0.11165400400026654</c:v>
                </c:pt>
                <c:pt idx="11">
                  <c:v>0.24734052396814071</c:v>
                </c:pt>
                <c:pt idx="12">
                  <c:v>0.34996841635205328</c:v>
                </c:pt>
                <c:pt idx="13">
                  <c:v>8.985661682617517E-2</c:v>
                </c:pt>
                <c:pt idx="14">
                  <c:v>-0.26339090575533475</c:v>
                </c:pt>
                <c:pt idx="15">
                  <c:v>-0.34363568997139365</c:v>
                </c:pt>
                <c:pt idx="16">
                  <c:v>-6.7704606637053952E-2</c:v>
                </c:pt>
                <c:pt idx="17">
                  <c:v>0.27840180396937036</c:v>
                </c:pt>
                <c:pt idx="18">
                  <c:v>0.33594679051462928</c:v>
                </c:pt>
                <c:pt idx="19">
                  <c:v>4.5285397296828629E-2</c:v>
                </c:pt>
                <c:pt idx="20">
                  <c:v>-0.29231397745282378</c:v>
                </c:pt>
              </c:numCache>
            </c:numRef>
          </c:yVal>
          <c:smooth val="1"/>
        </c:ser>
        <c:ser>
          <c:idx val="1"/>
          <c:order val="1"/>
          <c:xVal>
            <c:numRef>
              <c:f>'Análisis ok 3G'!$A$247:$A$267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'Análisis ok 3G'!$C$247:$C$267</c:f>
              <c:numCache>
                <c:formatCode>0.000</c:formatCode>
                <c:ptCount val="21"/>
                <c:pt idx="0">
                  <c:v>0</c:v>
                </c:pt>
                <c:pt idx="1">
                  <c:v>0.31662708310593629</c:v>
                </c:pt>
                <c:pt idx="2">
                  <c:v>0.30507252121278328</c:v>
                </c:pt>
                <c:pt idx="3">
                  <c:v>-2.2687467182477033E-2</c:v>
                </c:pt>
                <c:pt idx="4">
                  <c:v>-0.32693206255522378</c:v>
                </c:pt>
                <c:pt idx="5">
                  <c:v>-0.29231397745277998</c:v>
                </c:pt>
                <c:pt idx="6">
                  <c:v>4.5285397296902577E-2</c:v>
                </c:pt>
                <c:pt idx="7">
                  <c:v>0.3359467905146567</c:v>
                </c:pt>
                <c:pt idx="8">
                  <c:v>0.27840180396932285</c:v>
                </c:pt>
                <c:pt idx="9">
                  <c:v>-6.7704606637127185E-2</c:v>
                </c:pt>
                <c:pt idx="10">
                  <c:v>-0.34363568997141669</c:v>
                </c:pt>
                <c:pt idx="11">
                  <c:v>-0.26339090575528373</c:v>
                </c:pt>
                <c:pt idx="12">
                  <c:v>8.9856616826247376E-2</c:v>
                </c:pt>
                <c:pt idx="13">
                  <c:v>0.34996841635207182</c:v>
                </c:pt>
                <c:pt idx="14">
                  <c:v>0.24734052396808634</c:v>
                </c:pt>
                <c:pt idx="15">
                  <c:v>-0.11165400400033741</c:v>
                </c:pt>
                <c:pt idx="16">
                  <c:v>-0.35491997727874508</c:v>
                </c:pt>
                <c:pt idx="17">
                  <c:v>-0.23031400213192293</c:v>
                </c:pt>
                <c:pt idx="18">
                  <c:v>0.1330107438305001</c:v>
                </c:pt>
                <c:pt idx="19">
                  <c:v>0.35847083120261197</c:v>
                </c:pt>
                <c:pt idx="20">
                  <c:v>0.21237853614980293</c:v>
                </c:pt>
              </c:numCache>
            </c:numRef>
          </c:yVal>
          <c:smooth val="1"/>
        </c:ser>
        <c:axId val="99359744"/>
        <c:axId val="99382400"/>
      </c:scatterChart>
      <c:valAx>
        <c:axId val="99359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Tiempo en seg</a:t>
                </a:r>
              </a:p>
            </c:rich>
          </c:tx>
          <c:layout/>
        </c:title>
        <c:numFmt formatCode="General" sourceLinked="0"/>
        <c:tickLblPos val="nextTo"/>
        <c:spPr>
          <a:ln w="12700">
            <a:solidFill>
              <a:schemeClr val="tx1"/>
            </a:solidFill>
          </a:ln>
        </c:spPr>
        <c:crossAx val="99382400"/>
        <c:crosses val="autoZero"/>
        <c:crossBetween val="midCat"/>
      </c:valAx>
      <c:valAx>
        <c:axId val="993824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Fuerzas en ton</a:t>
                </a:r>
              </a:p>
            </c:rich>
          </c:tx>
          <c:layout/>
        </c:title>
        <c:numFmt formatCode="0.000" sourceLinked="1"/>
        <c:majorTickMark val="none"/>
        <c:tickLblPos val="nextTo"/>
        <c:spPr>
          <a:ln>
            <a:solidFill>
              <a:schemeClr val="tx1"/>
            </a:solidFill>
          </a:ln>
        </c:spPr>
        <c:crossAx val="9935974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600"/>
            </a:pPr>
            <a:r>
              <a:rPr lang="es-MX" sz="1600"/>
              <a:t>Cimentación</a:t>
            </a:r>
          </a:p>
        </c:rich>
      </c:tx>
      <c:spPr>
        <a:ln>
          <a:noFill/>
        </a:ln>
      </c:spPr>
    </c:title>
    <c:plotArea>
      <c:layout>
        <c:manualLayout>
          <c:layoutTarget val="inner"/>
          <c:xMode val="edge"/>
          <c:yMode val="edge"/>
          <c:x val="3.7597112860892491E-2"/>
          <c:y val="0.13414370078740231"/>
          <c:w val="0.92610433070866138"/>
          <c:h val="0.72483860570060321"/>
        </c:manualLayout>
      </c:layout>
      <c:scatterChart>
        <c:scatterStyle val="lineMarker"/>
        <c:ser>
          <c:idx val="0"/>
          <c:order val="0"/>
          <c:marker>
            <c:symbol val="none"/>
          </c:marker>
          <c:dLbls>
            <c:dLbl>
              <c:idx val="1"/>
              <c:layout>
                <c:manualLayout>
                  <c:x val="-2.1872265966117846E-7"/>
                  <c:y val="-4.6783625730994163E-2"/>
                </c:manualLayout>
              </c:layout>
              <c:showVal val="1"/>
              <c:showCatName val="1"/>
            </c:dLbl>
            <c:dLbl>
              <c:idx val="2"/>
              <c:layout>
                <c:manualLayout>
                  <c:x val="-3.6111111111111011E-2"/>
                  <c:y val="-4.6783625730994163E-2"/>
                </c:manualLayout>
              </c:layout>
              <c:showVal val="1"/>
              <c:showCatName val="1"/>
            </c:dLbl>
            <c:dLbl>
              <c:idx val="3"/>
              <c:layout>
                <c:manualLayout>
                  <c:x val="-0.11666666666666672"/>
                  <c:y val="-3.7426900584795496E-2"/>
                </c:manualLayout>
              </c:layout>
              <c:showVal val="1"/>
              <c:showCatName val="1"/>
            </c:dLbl>
            <c:dLbl>
              <c:idx val="4"/>
              <c:layout>
                <c:manualLayout>
                  <c:x val="-6.3656672040101312E-18"/>
                  <c:y val="-5.6140350877192845E-2"/>
                </c:manualLayout>
              </c:layout>
              <c:showVal val="1"/>
              <c:showCatName val="1"/>
            </c:dLbl>
            <c:showVal val="1"/>
            <c:showCatName val="1"/>
          </c:dLbls>
          <c:xVal>
            <c:numRef>
              <c:f>'Análisis ok'!$B$156:$B$160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11.39</c:v>
                </c:pt>
                <c:pt idx="3">
                  <c:v>11.39</c:v>
                </c:pt>
                <c:pt idx="4">
                  <c:v>0</c:v>
                </c:pt>
              </c:numCache>
            </c:numRef>
          </c:xVal>
          <c:yVal>
            <c:numRef>
              <c:f>'Análisis ok'!$C$156:$C$160</c:f>
              <c:numCache>
                <c:formatCode>General</c:formatCode>
                <c:ptCount val="5"/>
                <c:pt idx="0">
                  <c:v>0</c:v>
                </c:pt>
                <c:pt idx="1">
                  <c:v>5.52</c:v>
                </c:pt>
                <c:pt idx="2">
                  <c:v>5.52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</c:ser>
        <c:ser>
          <c:idx val="1"/>
          <c:order val="1"/>
          <c:tx>
            <c:v>CG</c:v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5"/>
          </c:marker>
          <c:dLbls>
            <c:showVal val="1"/>
            <c:showCatName val="1"/>
          </c:dLbls>
          <c:xVal>
            <c:numRef>
              <c:f>'Análisis ok'!$E$155</c:f>
              <c:numCache>
                <c:formatCode>0.00\ "m"</c:formatCode>
                <c:ptCount val="1"/>
                <c:pt idx="0">
                  <c:v>5.6950000000000003</c:v>
                </c:pt>
              </c:numCache>
            </c:numRef>
          </c:xVal>
          <c:yVal>
            <c:numRef>
              <c:f>'Análisis ok'!$G$155</c:f>
              <c:numCache>
                <c:formatCode>0.00\ "m"</c:formatCode>
                <c:ptCount val="1"/>
                <c:pt idx="0">
                  <c:v>2.76</c:v>
                </c:pt>
              </c:numCache>
            </c:numRef>
          </c:yVal>
        </c:ser>
        <c:dLbls>
          <c:showVal val="1"/>
          <c:showCatName val="1"/>
        </c:dLbls>
        <c:axId val="100792192"/>
        <c:axId val="100793728"/>
      </c:scatterChart>
      <c:valAx>
        <c:axId val="100792192"/>
        <c:scaling>
          <c:orientation val="minMax"/>
        </c:scaling>
        <c:axPos val="b"/>
        <c:numFmt formatCode="General" sourceLinked="1"/>
        <c:majorTickMark val="none"/>
        <c:tickLblPos val="nextTo"/>
        <c:crossAx val="100793728"/>
        <c:crosses val="autoZero"/>
        <c:crossBetween val="midCat"/>
      </c:valAx>
      <c:valAx>
        <c:axId val="100793728"/>
        <c:scaling>
          <c:orientation val="minMax"/>
        </c:scaling>
        <c:delete val="1"/>
        <c:axPos val="l"/>
        <c:numFmt formatCode="General" sourceLinked="1"/>
        <c:tickLblPos val="nextTo"/>
        <c:crossAx val="100792192"/>
        <c:crosses val="autoZero"/>
        <c:crossBetween val="midCat"/>
      </c:valAx>
      <c:spPr>
        <a:ln w="0"/>
      </c:spPr>
    </c:plotArea>
    <c:plotVisOnly val="1"/>
  </c:chart>
  <c:spPr>
    <a:ln w="0"/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Fuerza</a:t>
            </a:r>
            <a:r>
              <a:rPr lang="es-MX" baseline="0"/>
              <a:t>s dinámicas</a:t>
            </a:r>
            <a:endParaRPr lang="es-MX"/>
          </a:p>
        </c:rich>
      </c:tx>
    </c:title>
    <c:plotArea>
      <c:layout/>
      <c:scatterChart>
        <c:scatterStyle val="smoothMarker"/>
        <c:ser>
          <c:idx val="0"/>
          <c:order val="0"/>
          <c:xVal>
            <c:numRef>
              <c:f>'Análisis ok 6G'!$A$247:$A$267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'Análisis ok 6G'!$B$247:$B$267</c:f>
              <c:numCache>
                <c:formatCode>0.000</c:formatCode>
                <c:ptCount val="21"/>
                <c:pt idx="0">
                  <c:v>0.3613199469049877</c:v>
                </c:pt>
                <c:pt idx="1">
                  <c:v>0.17406721194771191</c:v>
                </c:pt>
                <c:pt idx="2">
                  <c:v>-0.1936049091120858</c:v>
                </c:pt>
                <c:pt idx="3">
                  <c:v>-0.36060696452546109</c:v>
                </c:pt>
                <c:pt idx="4">
                  <c:v>-0.15384255102152453</c:v>
                </c:pt>
                <c:pt idx="5">
                  <c:v>0.21237853614986327</c:v>
                </c:pt>
                <c:pt idx="6">
                  <c:v>0.35847083120260265</c:v>
                </c:pt>
                <c:pt idx="7">
                  <c:v>0.13301074383043077</c:v>
                </c:pt>
                <c:pt idx="8">
                  <c:v>-0.23031400213198036</c:v>
                </c:pt>
                <c:pt idx="9">
                  <c:v>-0.35491997727873109</c:v>
                </c:pt>
                <c:pt idx="10">
                  <c:v>-0.11165400400026654</c:v>
                </c:pt>
                <c:pt idx="11">
                  <c:v>0.24734052396814071</c:v>
                </c:pt>
                <c:pt idx="12">
                  <c:v>0.34996841635205328</c:v>
                </c:pt>
                <c:pt idx="13">
                  <c:v>8.985661682617517E-2</c:v>
                </c:pt>
                <c:pt idx="14">
                  <c:v>-0.26339090575533475</c:v>
                </c:pt>
                <c:pt idx="15">
                  <c:v>-0.34363568997139365</c:v>
                </c:pt>
                <c:pt idx="16">
                  <c:v>-6.7704606637053952E-2</c:v>
                </c:pt>
                <c:pt idx="17">
                  <c:v>0.27840180396937036</c:v>
                </c:pt>
                <c:pt idx="18">
                  <c:v>0.33594679051462928</c:v>
                </c:pt>
                <c:pt idx="19">
                  <c:v>4.5285397296828629E-2</c:v>
                </c:pt>
                <c:pt idx="20">
                  <c:v>-0.29231397745282378</c:v>
                </c:pt>
              </c:numCache>
            </c:numRef>
          </c:yVal>
          <c:smooth val="1"/>
        </c:ser>
        <c:ser>
          <c:idx val="1"/>
          <c:order val="1"/>
          <c:xVal>
            <c:numRef>
              <c:f>'Análisis ok 6G'!$A$247:$A$267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'Análisis ok 6G'!$C$247:$C$267</c:f>
              <c:numCache>
                <c:formatCode>0.000</c:formatCode>
                <c:ptCount val="21"/>
                <c:pt idx="0">
                  <c:v>0</c:v>
                </c:pt>
                <c:pt idx="1">
                  <c:v>0.31662708310593629</c:v>
                </c:pt>
                <c:pt idx="2">
                  <c:v>0.30507252121278328</c:v>
                </c:pt>
                <c:pt idx="3">
                  <c:v>-2.2687467182477033E-2</c:v>
                </c:pt>
                <c:pt idx="4">
                  <c:v>-0.32693206255522378</c:v>
                </c:pt>
                <c:pt idx="5">
                  <c:v>-0.29231397745277998</c:v>
                </c:pt>
                <c:pt idx="6">
                  <c:v>4.5285397296902577E-2</c:v>
                </c:pt>
                <c:pt idx="7">
                  <c:v>0.3359467905146567</c:v>
                </c:pt>
                <c:pt idx="8">
                  <c:v>0.27840180396932285</c:v>
                </c:pt>
                <c:pt idx="9">
                  <c:v>-6.7704606637127185E-2</c:v>
                </c:pt>
                <c:pt idx="10">
                  <c:v>-0.34363568997141669</c:v>
                </c:pt>
                <c:pt idx="11">
                  <c:v>-0.26339090575528373</c:v>
                </c:pt>
                <c:pt idx="12">
                  <c:v>8.9856616826247376E-2</c:v>
                </c:pt>
                <c:pt idx="13">
                  <c:v>0.34996841635207182</c:v>
                </c:pt>
                <c:pt idx="14">
                  <c:v>0.24734052396808634</c:v>
                </c:pt>
                <c:pt idx="15">
                  <c:v>-0.11165400400033741</c:v>
                </c:pt>
                <c:pt idx="16">
                  <c:v>-0.35491997727874508</c:v>
                </c:pt>
                <c:pt idx="17">
                  <c:v>-0.23031400213192293</c:v>
                </c:pt>
                <c:pt idx="18">
                  <c:v>0.1330107438305001</c:v>
                </c:pt>
                <c:pt idx="19">
                  <c:v>0.35847083120261197</c:v>
                </c:pt>
                <c:pt idx="20">
                  <c:v>0.21237853614980293</c:v>
                </c:pt>
              </c:numCache>
            </c:numRef>
          </c:yVal>
          <c:smooth val="1"/>
        </c:ser>
        <c:axId val="100840576"/>
        <c:axId val="100842496"/>
      </c:scatterChart>
      <c:valAx>
        <c:axId val="100840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Tiempo en seg</a:t>
                </a:r>
              </a:p>
            </c:rich>
          </c:tx>
        </c:title>
        <c:numFmt formatCode="General" sourceLinked="0"/>
        <c:tickLblPos val="nextTo"/>
        <c:spPr>
          <a:ln w="12700">
            <a:solidFill>
              <a:schemeClr val="tx1"/>
            </a:solidFill>
          </a:ln>
        </c:spPr>
        <c:crossAx val="100842496"/>
        <c:crosses val="autoZero"/>
        <c:crossBetween val="midCat"/>
      </c:valAx>
      <c:valAx>
        <c:axId val="1008424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Fuerzas en ton</a:t>
                </a:r>
              </a:p>
            </c:rich>
          </c:tx>
        </c:title>
        <c:numFmt formatCode="0.000" sourceLinked="1"/>
        <c:majorTickMark val="none"/>
        <c:tickLblPos val="nextTo"/>
        <c:spPr>
          <a:ln>
            <a:solidFill>
              <a:schemeClr val="tx1"/>
            </a:solidFill>
          </a:ln>
        </c:spPr>
        <c:crossAx val="100840576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0.18707174103237101"/>
          <c:y val="0.22444845435987176"/>
          <c:w val="0.59733114610673632"/>
          <c:h val="0.73005759696704553"/>
        </c:manualLayout>
      </c:layout>
      <c:scatterChart>
        <c:scatterStyle val="lineMarker"/>
        <c:ser>
          <c:idx val="0"/>
          <c:order val="0"/>
          <c:tx>
            <c:v>Desp long</c:v>
          </c:tx>
          <c:spPr>
            <a:ln w="22225"/>
          </c:spPr>
          <c:marker>
            <c:symbol val="diamond"/>
            <c:size val="3"/>
          </c:marker>
          <c:xVal>
            <c:numRef>
              <c:f>Hoja4!$C$5:$G$5</c:f>
              <c:numCache>
                <c:formatCode>General</c:formatCode>
                <c:ptCount val="5"/>
                <c:pt idx="0">
                  <c:v>1</c:v>
                </c:pt>
                <c:pt idx="1">
                  <c:v>1.1000000000000001</c:v>
                </c:pt>
                <c:pt idx="2">
                  <c:v>1.5</c:v>
                </c:pt>
                <c:pt idx="3">
                  <c:v>3</c:v>
                </c:pt>
                <c:pt idx="4">
                  <c:v>6</c:v>
                </c:pt>
              </c:numCache>
            </c:numRef>
          </c:xVal>
          <c:yVal>
            <c:numRef>
              <c:f>Hoja4!$C$7:$G$7</c:f>
              <c:numCache>
                <c:formatCode>General</c:formatCode>
                <c:ptCount val="5"/>
                <c:pt idx="0">
                  <c:v>-4.5771458113362373E-3</c:v>
                </c:pt>
                <c:pt idx="1">
                  <c:v>-4.0632183101289437E-3</c:v>
                </c:pt>
                <c:pt idx="2">
                  <c:v>-2.8493434392048494E-3</c:v>
                </c:pt>
                <c:pt idx="3">
                  <c:v>-1.3663577791592238E-3</c:v>
                </c:pt>
                <c:pt idx="4">
                  <c:v>-6.9600284032113964E-4</c:v>
                </c:pt>
              </c:numCache>
            </c:numRef>
          </c:yVal>
        </c:ser>
        <c:ser>
          <c:idx val="1"/>
          <c:order val="1"/>
          <c:tx>
            <c:v>Desp lat</c:v>
          </c:tx>
          <c:spPr>
            <a:ln w="22225"/>
          </c:spPr>
          <c:marker>
            <c:symbol val="square"/>
            <c:size val="3"/>
          </c:marker>
          <c:xVal>
            <c:numRef>
              <c:f>Hoja4!$C$5:$G$5</c:f>
              <c:numCache>
                <c:formatCode>General</c:formatCode>
                <c:ptCount val="5"/>
                <c:pt idx="0">
                  <c:v>1</c:v>
                </c:pt>
                <c:pt idx="1">
                  <c:v>1.1000000000000001</c:v>
                </c:pt>
                <c:pt idx="2">
                  <c:v>1.5</c:v>
                </c:pt>
                <c:pt idx="3">
                  <c:v>3</c:v>
                </c:pt>
                <c:pt idx="4">
                  <c:v>6</c:v>
                </c:pt>
              </c:numCache>
            </c:numRef>
          </c:xVal>
          <c:yVal>
            <c:numRef>
              <c:f>Hoja4!$C$8:$G$8</c:f>
              <c:numCache>
                <c:formatCode>General</c:formatCode>
                <c:ptCount val="5"/>
                <c:pt idx="0">
                  <c:v>8.4438946617451591E-3</c:v>
                </c:pt>
                <c:pt idx="1">
                  <c:v>7.2915894808021934E-3</c:v>
                </c:pt>
                <c:pt idx="2">
                  <c:v>4.6616790329561883E-3</c:v>
                </c:pt>
                <c:pt idx="3">
                  <c:v>1.8981547960240403E-3</c:v>
                </c:pt>
                <c:pt idx="4">
                  <c:v>8.2403924425909476E-4</c:v>
                </c:pt>
              </c:numCache>
            </c:numRef>
          </c:yVal>
        </c:ser>
        <c:ser>
          <c:idx val="2"/>
          <c:order val="2"/>
          <c:tx>
            <c:v>Desp vert</c:v>
          </c:tx>
          <c:spPr>
            <a:ln w="22225"/>
          </c:spPr>
          <c:marker>
            <c:symbol val="triangle"/>
            <c:size val="4"/>
          </c:marker>
          <c:xVal>
            <c:numRef>
              <c:f>Hoja4!$C$5:$G$5</c:f>
              <c:numCache>
                <c:formatCode>General</c:formatCode>
                <c:ptCount val="5"/>
                <c:pt idx="0">
                  <c:v>1</c:v>
                </c:pt>
                <c:pt idx="1">
                  <c:v>1.1000000000000001</c:v>
                </c:pt>
                <c:pt idx="2">
                  <c:v>1.5</c:v>
                </c:pt>
                <c:pt idx="3">
                  <c:v>3</c:v>
                </c:pt>
                <c:pt idx="4">
                  <c:v>6</c:v>
                </c:pt>
              </c:numCache>
            </c:numRef>
          </c:xVal>
          <c:yVal>
            <c:numRef>
              <c:f>Hoja4!$C$9:$G$9</c:f>
              <c:numCache>
                <c:formatCode>General</c:formatCode>
                <c:ptCount val="5"/>
                <c:pt idx="0">
                  <c:v>-1.4186922426890635E-2</c:v>
                </c:pt>
                <c:pt idx="1">
                  <c:v>-1.3389556355716477E-2</c:v>
                </c:pt>
                <c:pt idx="2">
                  <c:v>-1.1006962540882872E-2</c:v>
                </c:pt>
                <c:pt idx="3">
                  <c:v>-6.3674141020142912E-3</c:v>
                </c:pt>
                <c:pt idx="4">
                  <c:v>-3.6632539164690491E-3</c:v>
                </c:pt>
              </c:numCache>
            </c:numRef>
          </c:yVal>
        </c:ser>
        <c:axId val="91972736"/>
        <c:axId val="91974656"/>
      </c:scatterChart>
      <c:valAx>
        <c:axId val="91972736"/>
        <c:scaling>
          <c:orientation val="minMax"/>
          <c:max val="7"/>
        </c:scaling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Variación del módulo G</a:t>
                </a:r>
              </a:p>
            </c:rich>
          </c:tx>
        </c:title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91974656"/>
        <c:crosses val="max"/>
        <c:crossBetween val="midCat"/>
        <c:majorUnit val="1"/>
      </c:valAx>
      <c:valAx>
        <c:axId val="91974656"/>
        <c:scaling>
          <c:orientation val="minMax"/>
        </c:scaling>
        <c:axPos val="l"/>
        <c:majorGridlines>
          <c:spPr>
            <a:ln w="6350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Desplazamiento en mils/oz</a:t>
                </a:r>
              </a:p>
            </c:rich>
          </c:tx>
        </c:title>
        <c:numFmt formatCode="#,##0.0000" sourceLinked="0"/>
        <c:tickLblPos val="nextTo"/>
        <c:spPr>
          <a:ln w="19050">
            <a:solidFill>
              <a:schemeClr val="tx1"/>
            </a:solidFill>
          </a:ln>
        </c:spPr>
        <c:crossAx val="91972736"/>
        <c:crosses val="autoZero"/>
        <c:crossBetween val="midCat"/>
      </c:valAx>
    </c:plotArea>
    <c:legend>
      <c:legendPos val="r"/>
    </c:legend>
    <c:plotVisOnly val="1"/>
  </c:chart>
  <c:spPr>
    <a:ln>
      <a:solidFill>
        <a:sysClr val="windowText" lastClr="000000">
          <a:tint val="75000"/>
          <a:shade val="95000"/>
          <a:satMod val="105000"/>
        </a:sysClr>
      </a:solidFill>
    </a:ln>
  </c:spPr>
  <c:txPr>
    <a:bodyPr/>
    <a:lstStyle/>
    <a:p>
      <a:pPr>
        <a:defRPr baseline="0"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Fuerza</a:t>
            </a:r>
            <a:r>
              <a:rPr lang="es-MX" baseline="0"/>
              <a:t>s dinámicas</a:t>
            </a:r>
            <a:endParaRPr lang="es-MX"/>
          </a:p>
        </c:rich>
      </c:tx>
    </c:title>
    <c:plotArea>
      <c:layout/>
      <c:scatterChart>
        <c:scatterStyle val="smoothMarker"/>
        <c:ser>
          <c:idx val="0"/>
          <c:order val="0"/>
          <c:xVal>
            <c:numRef>
              <c:f>'Hoja1 (2)'!$A$247:$A$267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'Hoja1 (2)'!$B$247:$B$267</c:f>
              <c:numCache>
                <c:formatCode>0.000</c:formatCode>
                <c:ptCount val="21"/>
                <c:pt idx="0">
                  <c:v>0.3613199469049877</c:v>
                </c:pt>
                <c:pt idx="1">
                  <c:v>0.17406721194771191</c:v>
                </c:pt>
                <c:pt idx="2">
                  <c:v>-0.1936049091120858</c:v>
                </c:pt>
                <c:pt idx="3">
                  <c:v>-0.36060696452546109</c:v>
                </c:pt>
                <c:pt idx="4">
                  <c:v>-0.15384255102152453</c:v>
                </c:pt>
                <c:pt idx="5">
                  <c:v>0.21237853614986327</c:v>
                </c:pt>
                <c:pt idx="6">
                  <c:v>0.35847083120260265</c:v>
                </c:pt>
                <c:pt idx="7">
                  <c:v>0.13301074383043077</c:v>
                </c:pt>
                <c:pt idx="8">
                  <c:v>-0.23031400213198036</c:v>
                </c:pt>
                <c:pt idx="9">
                  <c:v>-0.35491997727873109</c:v>
                </c:pt>
                <c:pt idx="10">
                  <c:v>-0.11165400400026654</c:v>
                </c:pt>
                <c:pt idx="11">
                  <c:v>0.24734052396814071</c:v>
                </c:pt>
                <c:pt idx="12">
                  <c:v>0.34996841635205328</c:v>
                </c:pt>
                <c:pt idx="13">
                  <c:v>8.985661682617517E-2</c:v>
                </c:pt>
                <c:pt idx="14">
                  <c:v>-0.26339090575533475</c:v>
                </c:pt>
                <c:pt idx="15">
                  <c:v>-0.34363568997139365</c:v>
                </c:pt>
                <c:pt idx="16">
                  <c:v>-6.7704606637053952E-2</c:v>
                </c:pt>
                <c:pt idx="17">
                  <c:v>0.27840180396937036</c:v>
                </c:pt>
                <c:pt idx="18">
                  <c:v>0.33594679051462928</c:v>
                </c:pt>
                <c:pt idx="19">
                  <c:v>4.5285397296828629E-2</c:v>
                </c:pt>
                <c:pt idx="20">
                  <c:v>-0.29231397745282378</c:v>
                </c:pt>
              </c:numCache>
            </c:numRef>
          </c:yVal>
          <c:smooth val="1"/>
        </c:ser>
        <c:ser>
          <c:idx val="1"/>
          <c:order val="1"/>
          <c:xVal>
            <c:numRef>
              <c:f>'Hoja1 (2)'!$A$247:$A$267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'Hoja1 (2)'!$C$247:$C$267</c:f>
              <c:numCache>
                <c:formatCode>0.000</c:formatCode>
                <c:ptCount val="21"/>
                <c:pt idx="0">
                  <c:v>0</c:v>
                </c:pt>
                <c:pt idx="1">
                  <c:v>0.31662708310593629</c:v>
                </c:pt>
                <c:pt idx="2">
                  <c:v>0.30507252121278328</c:v>
                </c:pt>
                <c:pt idx="3">
                  <c:v>-2.2687467182477033E-2</c:v>
                </c:pt>
                <c:pt idx="4">
                  <c:v>-0.32693206255522378</c:v>
                </c:pt>
                <c:pt idx="5">
                  <c:v>-0.29231397745277998</c:v>
                </c:pt>
                <c:pt idx="6">
                  <c:v>4.5285397296902577E-2</c:v>
                </c:pt>
                <c:pt idx="7">
                  <c:v>0.3359467905146567</c:v>
                </c:pt>
                <c:pt idx="8">
                  <c:v>0.27840180396932285</c:v>
                </c:pt>
                <c:pt idx="9">
                  <c:v>-6.7704606637127185E-2</c:v>
                </c:pt>
                <c:pt idx="10">
                  <c:v>-0.34363568997141669</c:v>
                </c:pt>
                <c:pt idx="11">
                  <c:v>-0.26339090575528373</c:v>
                </c:pt>
                <c:pt idx="12">
                  <c:v>8.9856616826247376E-2</c:v>
                </c:pt>
                <c:pt idx="13">
                  <c:v>0.34996841635207182</c:v>
                </c:pt>
                <c:pt idx="14">
                  <c:v>0.24734052396808634</c:v>
                </c:pt>
                <c:pt idx="15">
                  <c:v>-0.11165400400033741</c:v>
                </c:pt>
                <c:pt idx="16">
                  <c:v>-0.35491997727874508</c:v>
                </c:pt>
                <c:pt idx="17">
                  <c:v>-0.23031400213192293</c:v>
                </c:pt>
                <c:pt idx="18">
                  <c:v>0.1330107438305001</c:v>
                </c:pt>
                <c:pt idx="19">
                  <c:v>0.35847083120261197</c:v>
                </c:pt>
                <c:pt idx="20">
                  <c:v>0.21237853614980293</c:v>
                </c:pt>
              </c:numCache>
            </c:numRef>
          </c:yVal>
          <c:smooth val="1"/>
        </c:ser>
        <c:axId val="99140736"/>
        <c:axId val="99152640"/>
      </c:scatterChart>
      <c:valAx>
        <c:axId val="99140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Tiempo en seg</a:t>
                </a:r>
              </a:p>
            </c:rich>
          </c:tx>
        </c:title>
        <c:numFmt formatCode="General" sourceLinked="0"/>
        <c:tickLblPos val="nextTo"/>
        <c:spPr>
          <a:ln w="12700">
            <a:solidFill>
              <a:schemeClr val="tx1"/>
            </a:solidFill>
          </a:ln>
        </c:spPr>
        <c:crossAx val="99152640"/>
        <c:crosses val="autoZero"/>
        <c:crossBetween val="midCat"/>
      </c:valAx>
      <c:valAx>
        <c:axId val="991526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Fuerzas en ton</a:t>
                </a:r>
              </a:p>
            </c:rich>
          </c:tx>
        </c:title>
        <c:numFmt formatCode="0.000" sourceLinked="1"/>
        <c:majorTickMark val="none"/>
        <c:tickLblPos val="nextTo"/>
        <c:spPr>
          <a:ln>
            <a:solidFill>
              <a:schemeClr val="tx1"/>
            </a:solidFill>
          </a:ln>
        </c:spPr>
        <c:crossAx val="99140736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600"/>
            </a:pPr>
            <a:r>
              <a:rPr lang="es-MX" sz="1600"/>
              <a:t>Cimentación</a:t>
            </a:r>
          </a:p>
        </c:rich>
      </c:tx>
      <c:layout/>
      <c:spPr>
        <a:ln>
          <a:noFill/>
        </a:ln>
      </c:spPr>
    </c:title>
    <c:plotArea>
      <c:layout>
        <c:manualLayout>
          <c:layoutTarget val="inner"/>
          <c:xMode val="edge"/>
          <c:yMode val="edge"/>
          <c:x val="3.7597112860892484E-2"/>
          <c:y val="0.13414370078740209"/>
          <c:w val="0.92610433070866138"/>
          <c:h val="0.72483860570060321"/>
        </c:manualLayout>
      </c:layout>
      <c:scatterChart>
        <c:scatterStyle val="lineMarker"/>
        <c:ser>
          <c:idx val="0"/>
          <c:order val="0"/>
          <c:marker>
            <c:symbol val="none"/>
          </c:marker>
          <c:dLbls>
            <c:dLbl>
              <c:idx val="1"/>
              <c:layout>
                <c:manualLayout>
                  <c:x val="-2.1872265966117772E-7"/>
                  <c:y val="-4.6783625730994163E-2"/>
                </c:manualLayout>
              </c:layout>
              <c:showVal val="1"/>
              <c:showCatName val="1"/>
            </c:dLbl>
            <c:dLbl>
              <c:idx val="2"/>
              <c:layout>
                <c:manualLayout>
                  <c:x val="-3.6111111111111011E-2"/>
                  <c:y val="-4.6783625730994163E-2"/>
                </c:manualLayout>
              </c:layout>
              <c:showVal val="1"/>
              <c:showCatName val="1"/>
            </c:dLbl>
            <c:dLbl>
              <c:idx val="3"/>
              <c:layout>
                <c:manualLayout>
                  <c:x val="-0.11666666666666672"/>
                  <c:y val="-3.7426900584795447E-2"/>
                </c:manualLayout>
              </c:layout>
              <c:showVal val="1"/>
              <c:showCatName val="1"/>
            </c:dLbl>
            <c:dLbl>
              <c:idx val="4"/>
              <c:layout>
                <c:manualLayout>
                  <c:x val="-6.3656672040100904E-18"/>
                  <c:y val="-5.6140350877192845E-2"/>
                </c:manualLayout>
              </c:layout>
              <c:showVal val="1"/>
              <c:showCatName val="1"/>
            </c:dLbl>
            <c:showVal val="1"/>
            <c:showCatName val="1"/>
          </c:dLbls>
          <c:xVal>
            <c:numRef>
              <c:f>'Análisis ok'!$B$156:$B$160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11.39</c:v>
                </c:pt>
                <c:pt idx="3">
                  <c:v>11.39</c:v>
                </c:pt>
                <c:pt idx="4">
                  <c:v>0</c:v>
                </c:pt>
              </c:numCache>
            </c:numRef>
          </c:xVal>
          <c:yVal>
            <c:numRef>
              <c:f>'Análisis ok'!$C$156:$C$160</c:f>
              <c:numCache>
                <c:formatCode>General</c:formatCode>
                <c:ptCount val="5"/>
                <c:pt idx="0">
                  <c:v>0</c:v>
                </c:pt>
                <c:pt idx="1">
                  <c:v>5.52</c:v>
                </c:pt>
                <c:pt idx="2">
                  <c:v>5.52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</c:ser>
        <c:ser>
          <c:idx val="1"/>
          <c:order val="1"/>
          <c:tx>
            <c:v>CG</c:v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5"/>
          </c:marker>
          <c:dLbls>
            <c:showVal val="1"/>
            <c:showCatName val="1"/>
          </c:dLbls>
          <c:xVal>
            <c:numRef>
              <c:f>'Análisis ok'!$E$155</c:f>
              <c:numCache>
                <c:formatCode>0.00\ "m"</c:formatCode>
                <c:ptCount val="1"/>
                <c:pt idx="0">
                  <c:v>5.6950000000000003</c:v>
                </c:pt>
              </c:numCache>
            </c:numRef>
          </c:xVal>
          <c:yVal>
            <c:numRef>
              <c:f>'Análisis ok'!$G$155</c:f>
              <c:numCache>
                <c:formatCode>0.00\ "m"</c:formatCode>
                <c:ptCount val="1"/>
                <c:pt idx="0">
                  <c:v>2.76</c:v>
                </c:pt>
              </c:numCache>
            </c:numRef>
          </c:yVal>
        </c:ser>
        <c:dLbls>
          <c:showVal val="1"/>
          <c:showCatName val="1"/>
        </c:dLbls>
        <c:axId val="99584256"/>
        <c:axId val="99611008"/>
      </c:scatterChart>
      <c:valAx>
        <c:axId val="99584256"/>
        <c:scaling>
          <c:orientation val="minMax"/>
        </c:scaling>
        <c:axPos val="b"/>
        <c:numFmt formatCode="General" sourceLinked="1"/>
        <c:majorTickMark val="none"/>
        <c:tickLblPos val="nextTo"/>
        <c:crossAx val="99611008"/>
        <c:crosses val="autoZero"/>
        <c:crossBetween val="midCat"/>
      </c:valAx>
      <c:valAx>
        <c:axId val="99611008"/>
        <c:scaling>
          <c:orientation val="minMax"/>
        </c:scaling>
        <c:delete val="1"/>
        <c:axPos val="l"/>
        <c:numFmt formatCode="General" sourceLinked="1"/>
        <c:tickLblPos val="nextTo"/>
        <c:crossAx val="99584256"/>
        <c:crosses val="autoZero"/>
        <c:crossBetween val="midCat"/>
      </c:valAx>
      <c:spPr>
        <a:ln w="0"/>
      </c:spPr>
    </c:plotArea>
    <c:plotVisOnly val="1"/>
  </c:chart>
  <c:spPr>
    <a:ln w="0"/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Fuerza</a:t>
            </a:r>
            <a:r>
              <a:rPr lang="es-MX" baseline="0"/>
              <a:t>s dinámicas</a:t>
            </a:r>
            <a:endParaRPr lang="es-MX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Qy</c:v>
          </c:tx>
          <c:spPr>
            <a:ln w="22225"/>
          </c:spPr>
          <c:marker>
            <c:symbol val="diamond"/>
            <c:size val="4"/>
          </c:marker>
          <c:xVal>
            <c:numRef>
              <c:f>'Análisis ok'!$A$247:$A$267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'Análisis ok'!$B$247:$B$267</c:f>
              <c:numCache>
                <c:formatCode>0.000</c:formatCode>
                <c:ptCount val="21"/>
                <c:pt idx="0">
                  <c:v>0.3613199469049877</c:v>
                </c:pt>
                <c:pt idx="1">
                  <c:v>0.17406721194771191</c:v>
                </c:pt>
                <c:pt idx="2">
                  <c:v>-0.1936049091120858</c:v>
                </c:pt>
                <c:pt idx="3">
                  <c:v>-0.36060696452546109</c:v>
                </c:pt>
                <c:pt idx="4">
                  <c:v>-0.15384255102152453</c:v>
                </c:pt>
                <c:pt idx="5">
                  <c:v>0.21237853614986327</c:v>
                </c:pt>
                <c:pt idx="6">
                  <c:v>0.35847083120260265</c:v>
                </c:pt>
                <c:pt idx="7">
                  <c:v>0.13301074383043077</c:v>
                </c:pt>
                <c:pt idx="8">
                  <c:v>-0.23031400213198036</c:v>
                </c:pt>
                <c:pt idx="9">
                  <c:v>-0.35491997727873109</c:v>
                </c:pt>
                <c:pt idx="10">
                  <c:v>-0.11165400400026654</c:v>
                </c:pt>
                <c:pt idx="11">
                  <c:v>0.24734052396814071</c:v>
                </c:pt>
                <c:pt idx="12">
                  <c:v>0.34996841635205328</c:v>
                </c:pt>
                <c:pt idx="13">
                  <c:v>8.985661682617517E-2</c:v>
                </c:pt>
                <c:pt idx="14">
                  <c:v>-0.26339090575533475</c:v>
                </c:pt>
                <c:pt idx="15">
                  <c:v>-0.34363568997139365</c:v>
                </c:pt>
                <c:pt idx="16">
                  <c:v>-6.7704606637053952E-2</c:v>
                </c:pt>
                <c:pt idx="17">
                  <c:v>0.27840180396937036</c:v>
                </c:pt>
                <c:pt idx="18">
                  <c:v>0.33594679051462928</c:v>
                </c:pt>
                <c:pt idx="19">
                  <c:v>4.5285397296828629E-2</c:v>
                </c:pt>
                <c:pt idx="20">
                  <c:v>-0.29231397745282378</c:v>
                </c:pt>
              </c:numCache>
            </c:numRef>
          </c:yVal>
          <c:smooth val="1"/>
        </c:ser>
        <c:ser>
          <c:idx val="1"/>
          <c:order val="1"/>
          <c:tx>
            <c:v>Qz</c:v>
          </c:tx>
          <c:spPr>
            <a:ln w="22225"/>
          </c:spPr>
          <c:marker>
            <c:symbol val="square"/>
            <c:size val="3"/>
          </c:marker>
          <c:xVal>
            <c:numRef>
              <c:f>'Análisis ok'!$A$247:$A$267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'Análisis ok'!$C$247:$C$267</c:f>
              <c:numCache>
                <c:formatCode>0.000</c:formatCode>
                <c:ptCount val="21"/>
                <c:pt idx="0">
                  <c:v>0</c:v>
                </c:pt>
                <c:pt idx="1">
                  <c:v>0.31662708310593629</c:v>
                </c:pt>
                <c:pt idx="2">
                  <c:v>0.30507252121278328</c:v>
                </c:pt>
                <c:pt idx="3">
                  <c:v>-2.2687467182477033E-2</c:v>
                </c:pt>
                <c:pt idx="4">
                  <c:v>-0.32693206255522378</c:v>
                </c:pt>
                <c:pt idx="5">
                  <c:v>-0.29231397745277998</c:v>
                </c:pt>
                <c:pt idx="6">
                  <c:v>4.5285397296902577E-2</c:v>
                </c:pt>
                <c:pt idx="7">
                  <c:v>0.3359467905146567</c:v>
                </c:pt>
                <c:pt idx="8">
                  <c:v>0.27840180396932285</c:v>
                </c:pt>
                <c:pt idx="9">
                  <c:v>-6.7704606637127185E-2</c:v>
                </c:pt>
                <c:pt idx="10">
                  <c:v>-0.34363568997141669</c:v>
                </c:pt>
                <c:pt idx="11">
                  <c:v>-0.26339090575528373</c:v>
                </c:pt>
                <c:pt idx="12">
                  <c:v>8.9856616826247376E-2</c:v>
                </c:pt>
                <c:pt idx="13">
                  <c:v>0.34996841635207182</c:v>
                </c:pt>
                <c:pt idx="14">
                  <c:v>0.24734052396808634</c:v>
                </c:pt>
                <c:pt idx="15">
                  <c:v>-0.11165400400033741</c:v>
                </c:pt>
                <c:pt idx="16">
                  <c:v>-0.35491997727874508</c:v>
                </c:pt>
                <c:pt idx="17">
                  <c:v>-0.23031400213192293</c:v>
                </c:pt>
                <c:pt idx="18">
                  <c:v>0.1330107438305001</c:v>
                </c:pt>
                <c:pt idx="19">
                  <c:v>0.35847083120261197</c:v>
                </c:pt>
                <c:pt idx="20">
                  <c:v>0.21237853614980293</c:v>
                </c:pt>
              </c:numCache>
            </c:numRef>
          </c:yVal>
          <c:smooth val="1"/>
        </c:ser>
        <c:axId val="100983936"/>
        <c:axId val="100985856"/>
      </c:scatterChart>
      <c:valAx>
        <c:axId val="100983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Tiempo en seg</a:t>
                </a:r>
              </a:p>
            </c:rich>
          </c:tx>
          <c:layout/>
        </c:title>
        <c:numFmt formatCode="General" sourceLinked="0"/>
        <c:tickLblPos val="nextTo"/>
        <c:spPr>
          <a:ln w="19050">
            <a:solidFill>
              <a:schemeClr val="tx1"/>
            </a:solidFill>
          </a:ln>
        </c:spPr>
        <c:crossAx val="100985856"/>
        <c:crosses val="autoZero"/>
        <c:crossBetween val="midCat"/>
      </c:valAx>
      <c:valAx>
        <c:axId val="1009858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Fuerzas en ton</a:t>
                </a:r>
              </a:p>
            </c:rich>
          </c:tx>
          <c:layout/>
        </c:title>
        <c:numFmt formatCode="0.00" sourceLinked="0"/>
        <c:majorTickMark val="none"/>
        <c:tickLblPos val="nextTo"/>
        <c:spPr>
          <a:ln w="19050">
            <a:solidFill>
              <a:schemeClr val="tx1"/>
            </a:solidFill>
          </a:ln>
        </c:spPr>
        <c:crossAx val="100983936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600"/>
            </a:pPr>
            <a:r>
              <a:rPr lang="es-MX" sz="1600"/>
              <a:t>Cimentación</a:t>
            </a:r>
          </a:p>
        </c:rich>
      </c:tx>
      <c:layout/>
      <c:spPr>
        <a:ln>
          <a:noFill/>
        </a:ln>
      </c:spPr>
    </c:title>
    <c:plotArea>
      <c:layout>
        <c:manualLayout>
          <c:layoutTarget val="inner"/>
          <c:xMode val="edge"/>
          <c:yMode val="edge"/>
          <c:x val="3.7597112860892491E-2"/>
          <c:y val="0.13414370078740218"/>
          <c:w val="0.92610433070866138"/>
          <c:h val="0.72483860570060321"/>
        </c:manualLayout>
      </c:layout>
      <c:scatterChart>
        <c:scatterStyle val="lineMarker"/>
        <c:ser>
          <c:idx val="0"/>
          <c:order val="0"/>
          <c:marker>
            <c:symbol val="none"/>
          </c:marker>
          <c:dLbls>
            <c:dLbl>
              <c:idx val="1"/>
              <c:layout>
                <c:manualLayout>
                  <c:x val="-2.1872265966117798E-7"/>
                  <c:y val="-4.6783625730994163E-2"/>
                </c:manualLayout>
              </c:layout>
              <c:showVal val="1"/>
              <c:showCatName val="1"/>
            </c:dLbl>
            <c:dLbl>
              <c:idx val="2"/>
              <c:layout>
                <c:manualLayout>
                  <c:x val="-3.6111111111111011E-2"/>
                  <c:y val="-4.6783625730994163E-2"/>
                </c:manualLayout>
              </c:layout>
              <c:showVal val="1"/>
              <c:showCatName val="1"/>
            </c:dLbl>
            <c:dLbl>
              <c:idx val="3"/>
              <c:layout>
                <c:manualLayout>
                  <c:x val="-0.11666666666666672"/>
                  <c:y val="-3.7426900584795461E-2"/>
                </c:manualLayout>
              </c:layout>
              <c:showVal val="1"/>
              <c:showCatName val="1"/>
            </c:dLbl>
            <c:dLbl>
              <c:idx val="4"/>
              <c:layout>
                <c:manualLayout>
                  <c:x val="-6.3656672040101035E-18"/>
                  <c:y val="-5.6140350877192845E-2"/>
                </c:manualLayout>
              </c:layout>
              <c:showVal val="1"/>
              <c:showCatName val="1"/>
            </c:dLbl>
            <c:showVal val="1"/>
            <c:showCatName val="1"/>
          </c:dLbls>
          <c:xVal>
            <c:numRef>
              <c:f>'Análisis ok'!$B$156:$B$160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11.39</c:v>
                </c:pt>
                <c:pt idx="3">
                  <c:v>11.39</c:v>
                </c:pt>
                <c:pt idx="4">
                  <c:v>0</c:v>
                </c:pt>
              </c:numCache>
            </c:numRef>
          </c:xVal>
          <c:yVal>
            <c:numRef>
              <c:f>'Análisis ok'!$C$156:$C$160</c:f>
              <c:numCache>
                <c:formatCode>General</c:formatCode>
                <c:ptCount val="5"/>
                <c:pt idx="0">
                  <c:v>0</c:v>
                </c:pt>
                <c:pt idx="1">
                  <c:v>5.52</c:v>
                </c:pt>
                <c:pt idx="2">
                  <c:v>5.52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</c:ser>
        <c:ser>
          <c:idx val="1"/>
          <c:order val="1"/>
          <c:tx>
            <c:v>CG</c:v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5"/>
          </c:marker>
          <c:dLbls>
            <c:showVal val="1"/>
            <c:showCatName val="1"/>
          </c:dLbls>
          <c:xVal>
            <c:numRef>
              <c:f>'Análisis ok'!$E$155</c:f>
              <c:numCache>
                <c:formatCode>0.00\ "m"</c:formatCode>
                <c:ptCount val="1"/>
                <c:pt idx="0">
                  <c:v>5.6950000000000003</c:v>
                </c:pt>
              </c:numCache>
            </c:numRef>
          </c:xVal>
          <c:yVal>
            <c:numRef>
              <c:f>'Análisis ok'!$G$155</c:f>
              <c:numCache>
                <c:formatCode>0.00\ "m"</c:formatCode>
                <c:ptCount val="1"/>
                <c:pt idx="0">
                  <c:v>2.76</c:v>
                </c:pt>
              </c:numCache>
            </c:numRef>
          </c:yVal>
        </c:ser>
        <c:dLbls>
          <c:showVal val="1"/>
          <c:showCatName val="1"/>
        </c:dLbls>
        <c:axId val="98643968"/>
        <c:axId val="98645504"/>
      </c:scatterChart>
      <c:valAx>
        <c:axId val="98643968"/>
        <c:scaling>
          <c:orientation val="minMax"/>
        </c:scaling>
        <c:axPos val="b"/>
        <c:numFmt formatCode="General" sourceLinked="1"/>
        <c:majorTickMark val="none"/>
        <c:tickLblPos val="nextTo"/>
        <c:crossAx val="98645504"/>
        <c:crosses val="autoZero"/>
        <c:crossBetween val="midCat"/>
      </c:valAx>
      <c:valAx>
        <c:axId val="98645504"/>
        <c:scaling>
          <c:orientation val="minMax"/>
        </c:scaling>
        <c:delete val="1"/>
        <c:axPos val="l"/>
        <c:numFmt formatCode="General" sourceLinked="1"/>
        <c:tickLblPos val="nextTo"/>
        <c:crossAx val="98643968"/>
        <c:crosses val="autoZero"/>
        <c:crossBetween val="midCat"/>
      </c:valAx>
      <c:spPr>
        <a:ln w="0"/>
      </c:spPr>
    </c:plotArea>
    <c:plotVisOnly val="1"/>
  </c:chart>
  <c:spPr>
    <a:ln w="0"/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Fuerza</a:t>
            </a:r>
            <a:r>
              <a:rPr lang="es-MX" baseline="0"/>
              <a:t>s dinámicas</a:t>
            </a:r>
            <a:endParaRPr lang="es-MX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Qy</c:v>
          </c:tx>
          <c:xVal>
            <c:numRef>
              <c:f>'Análisis ok 1.1G'!$A$247:$A$267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'Análisis ok 1.1G'!$B$247:$B$267</c:f>
              <c:numCache>
                <c:formatCode>0.000</c:formatCode>
                <c:ptCount val="21"/>
                <c:pt idx="0">
                  <c:v>0.3613199469049877</c:v>
                </c:pt>
                <c:pt idx="1">
                  <c:v>0.17406721194771191</c:v>
                </c:pt>
                <c:pt idx="2">
                  <c:v>-0.1936049091120858</c:v>
                </c:pt>
                <c:pt idx="3">
                  <c:v>-0.36060696452546109</c:v>
                </c:pt>
                <c:pt idx="4">
                  <c:v>-0.15384255102152453</c:v>
                </c:pt>
                <c:pt idx="5">
                  <c:v>0.21237853614986327</c:v>
                </c:pt>
                <c:pt idx="6">
                  <c:v>0.35847083120260265</c:v>
                </c:pt>
                <c:pt idx="7">
                  <c:v>0.13301074383043077</c:v>
                </c:pt>
                <c:pt idx="8">
                  <c:v>-0.23031400213198036</c:v>
                </c:pt>
                <c:pt idx="9">
                  <c:v>-0.35491997727873109</c:v>
                </c:pt>
                <c:pt idx="10">
                  <c:v>-0.11165400400026654</c:v>
                </c:pt>
                <c:pt idx="11">
                  <c:v>0.24734052396814071</c:v>
                </c:pt>
                <c:pt idx="12">
                  <c:v>0.34996841635205328</c:v>
                </c:pt>
                <c:pt idx="13">
                  <c:v>8.985661682617517E-2</c:v>
                </c:pt>
                <c:pt idx="14">
                  <c:v>-0.26339090575533475</c:v>
                </c:pt>
                <c:pt idx="15">
                  <c:v>-0.34363568997139365</c:v>
                </c:pt>
                <c:pt idx="16">
                  <c:v>-6.7704606637053952E-2</c:v>
                </c:pt>
                <c:pt idx="17">
                  <c:v>0.27840180396937036</c:v>
                </c:pt>
                <c:pt idx="18">
                  <c:v>0.33594679051462928</c:v>
                </c:pt>
                <c:pt idx="19">
                  <c:v>4.5285397296828629E-2</c:v>
                </c:pt>
                <c:pt idx="20">
                  <c:v>-0.29231397745282378</c:v>
                </c:pt>
              </c:numCache>
            </c:numRef>
          </c:yVal>
          <c:smooth val="1"/>
        </c:ser>
        <c:ser>
          <c:idx val="1"/>
          <c:order val="1"/>
          <c:tx>
            <c:v>Qx</c:v>
          </c:tx>
          <c:xVal>
            <c:numRef>
              <c:f>'Análisis ok 1.1G'!$A$247:$A$267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'Análisis ok 1.1G'!$C$247:$C$267</c:f>
              <c:numCache>
                <c:formatCode>0.000</c:formatCode>
                <c:ptCount val="21"/>
                <c:pt idx="0">
                  <c:v>0</c:v>
                </c:pt>
                <c:pt idx="1">
                  <c:v>0.31662708310593629</c:v>
                </c:pt>
                <c:pt idx="2">
                  <c:v>0.30507252121278328</c:v>
                </c:pt>
                <c:pt idx="3">
                  <c:v>-2.2687467182477033E-2</c:v>
                </c:pt>
                <c:pt idx="4">
                  <c:v>-0.32693206255522378</c:v>
                </c:pt>
                <c:pt idx="5">
                  <c:v>-0.29231397745277998</c:v>
                </c:pt>
                <c:pt idx="6">
                  <c:v>4.5285397296902577E-2</c:v>
                </c:pt>
                <c:pt idx="7">
                  <c:v>0.3359467905146567</c:v>
                </c:pt>
                <c:pt idx="8">
                  <c:v>0.27840180396932285</c:v>
                </c:pt>
                <c:pt idx="9">
                  <c:v>-6.7704606637127185E-2</c:v>
                </c:pt>
                <c:pt idx="10">
                  <c:v>-0.34363568997141669</c:v>
                </c:pt>
                <c:pt idx="11">
                  <c:v>-0.26339090575528373</c:v>
                </c:pt>
                <c:pt idx="12">
                  <c:v>8.9856616826247376E-2</c:v>
                </c:pt>
                <c:pt idx="13">
                  <c:v>0.34996841635207182</c:v>
                </c:pt>
                <c:pt idx="14">
                  <c:v>0.24734052396808634</c:v>
                </c:pt>
                <c:pt idx="15">
                  <c:v>-0.11165400400033741</c:v>
                </c:pt>
                <c:pt idx="16">
                  <c:v>-0.35491997727874508</c:v>
                </c:pt>
                <c:pt idx="17">
                  <c:v>-0.23031400213192293</c:v>
                </c:pt>
                <c:pt idx="18">
                  <c:v>0.1330107438305001</c:v>
                </c:pt>
                <c:pt idx="19">
                  <c:v>0.35847083120261197</c:v>
                </c:pt>
                <c:pt idx="20">
                  <c:v>0.21237853614980293</c:v>
                </c:pt>
              </c:numCache>
            </c:numRef>
          </c:yVal>
          <c:smooth val="1"/>
        </c:ser>
        <c:axId val="98667520"/>
        <c:axId val="98677888"/>
      </c:scatterChart>
      <c:valAx>
        <c:axId val="98667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Tiempo en seg</a:t>
                </a:r>
              </a:p>
            </c:rich>
          </c:tx>
          <c:layout/>
        </c:title>
        <c:numFmt formatCode="General" sourceLinked="0"/>
        <c:tickLblPos val="nextTo"/>
        <c:spPr>
          <a:ln w="12700">
            <a:solidFill>
              <a:schemeClr val="tx1"/>
            </a:solidFill>
          </a:ln>
        </c:spPr>
        <c:crossAx val="98677888"/>
        <c:crosses val="autoZero"/>
        <c:crossBetween val="midCat"/>
      </c:valAx>
      <c:valAx>
        <c:axId val="98677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Fuerzas en ton</a:t>
                </a:r>
              </a:p>
            </c:rich>
          </c:tx>
          <c:layout/>
        </c:title>
        <c:numFmt formatCode="0.000" sourceLinked="1"/>
        <c:majorTickMark val="none"/>
        <c:tickLblPos val="nextTo"/>
        <c:spPr>
          <a:ln>
            <a:solidFill>
              <a:schemeClr val="tx1"/>
            </a:solidFill>
          </a:ln>
        </c:spPr>
        <c:crossAx val="98667520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600"/>
            </a:pPr>
            <a:r>
              <a:rPr lang="es-MX" sz="1600"/>
              <a:t>Cimentación</a:t>
            </a:r>
          </a:p>
        </c:rich>
      </c:tx>
      <c:layout/>
      <c:spPr>
        <a:ln>
          <a:noFill/>
        </a:ln>
      </c:spPr>
    </c:title>
    <c:plotArea>
      <c:layout>
        <c:manualLayout>
          <c:layoutTarget val="inner"/>
          <c:xMode val="edge"/>
          <c:yMode val="edge"/>
          <c:x val="3.7597112860892491E-2"/>
          <c:y val="0.13414370078740226"/>
          <c:w val="0.92610433070866138"/>
          <c:h val="0.72483860570060321"/>
        </c:manualLayout>
      </c:layout>
      <c:scatterChart>
        <c:scatterStyle val="lineMarker"/>
        <c:ser>
          <c:idx val="0"/>
          <c:order val="0"/>
          <c:marker>
            <c:symbol val="none"/>
          </c:marker>
          <c:dLbls>
            <c:dLbl>
              <c:idx val="1"/>
              <c:layout>
                <c:manualLayout>
                  <c:x val="-2.187226596611782E-7"/>
                  <c:y val="-4.6783625730994163E-2"/>
                </c:manualLayout>
              </c:layout>
              <c:showVal val="1"/>
              <c:showCatName val="1"/>
            </c:dLbl>
            <c:dLbl>
              <c:idx val="2"/>
              <c:layout>
                <c:manualLayout>
                  <c:x val="-3.6111111111111011E-2"/>
                  <c:y val="-4.6783625730994163E-2"/>
                </c:manualLayout>
              </c:layout>
              <c:showVal val="1"/>
              <c:showCatName val="1"/>
            </c:dLbl>
            <c:dLbl>
              <c:idx val="3"/>
              <c:layout>
                <c:manualLayout>
                  <c:x val="-0.11666666666666672"/>
                  <c:y val="-3.7426900584795482E-2"/>
                </c:manualLayout>
              </c:layout>
              <c:showVal val="1"/>
              <c:showCatName val="1"/>
            </c:dLbl>
            <c:dLbl>
              <c:idx val="4"/>
              <c:layout>
                <c:manualLayout>
                  <c:x val="-6.3656672040101166E-18"/>
                  <c:y val="-5.6140350877192845E-2"/>
                </c:manualLayout>
              </c:layout>
              <c:showVal val="1"/>
              <c:showCatName val="1"/>
            </c:dLbl>
            <c:showVal val="1"/>
            <c:showCatName val="1"/>
          </c:dLbls>
          <c:xVal>
            <c:numRef>
              <c:f>'Análisis ok'!$B$156:$B$160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11.39</c:v>
                </c:pt>
                <c:pt idx="3">
                  <c:v>11.39</c:v>
                </c:pt>
                <c:pt idx="4">
                  <c:v>0</c:v>
                </c:pt>
              </c:numCache>
            </c:numRef>
          </c:xVal>
          <c:yVal>
            <c:numRef>
              <c:f>'Análisis ok'!$C$156:$C$160</c:f>
              <c:numCache>
                <c:formatCode>General</c:formatCode>
                <c:ptCount val="5"/>
                <c:pt idx="0">
                  <c:v>0</c:v>
                </c:pt>
                <c:pt idx="1">
                  <c:v>5.52</c:v>
                </c:pt>
                <c:pt idx="2">
                  <c:v>5.52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</c:ser>
        <c:ser>
          <c:idx val="1"/>
          <c:order val="1"/>
          <c:tx>
            <c:v>CG</c:v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5"/>
          </c:marker>
          <c:dLbls>
            <c:showVal val="1"/>
            <c:showCatName val="1"/>
          </c:dLbls>
          <c:xVal>
            <c:numRef>
              <c:f>'Análisis ok'!$E$155</c:f>
              <c:numCache>
                <c:formatCode>0.00\ "m"</c:formatCode>
                <c:ptCount val="1"/>
                <c:pt idx="0">
                  <c:v>5.6950000000000003</c:v>
                </c:pt>
              </c:numCache>
            </c:numRef>
          </c:xVal>
          <c:yVal>
            <c:numRef>
              <c:f>'Análisis ok'!$G$155</c:f>
              <c:numCache>
                <c:formatCode>0.00\ "m"</c:formatCode>
                <c:ptCount val="1"/>
                <c:pt idx="0">
                  <c:v>2.76</c:v>
                </c:pt>
              </c:numCache>
            </c:numRef>
          </c:yVal>
        </c:ser>
        <c:dLbls>
          <c:showVal val="1"/>
          <c:showCatName val="1"/>
        </c:dLbls>
        <c:axId val="98826112"/>
        <c:axId val="98827648"/>
      </c:scatterChart>
      <c:valAx>
        <c:axId val="98826112"/>
        <c:scaling>
          <c:orientation val="minMax"/>
        </c:scaling>
        <c:axPos val="b"/>
        <c:numFmt formatCode="General" sourceLinked="1"/>
        <c:majorTickMark val="none"/>
        <c:tickLblPos val="nextTo"/>
        <c:crossAx val="98827648"/>
        <c:crosses val="autoZero"/>
        <c:crossBetween val="midCat"/>
      </c:valAx>
      <c:valAx>
        <c:axId val="98827648"/>
        <c:scaling>
          <c:orientation val="minMax"/>
        </c:scaling>
        <c:delete val="1"/>
        <c:axPos val="l"/>
        <c:numFmt formatCode="General" sourceLinked="1"/>
        <c:tickLblPos val="nextTo"/>
        <c:crossAx val="98826112"/>
        <c:crosses val="autoZero"/>
        <c:crossBetween val="midCat"/>
      </c:valAx>
      <c:spPr>
        <a:ln w="0"/>
      </c:spPr>
    </c:plotArea>
    <c:plotVisOnly val="1"/>
  </c:chart>
  <c:spPr>
    <a:ln w="0"/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Fuerza</a:t>
            </a:r>
            <a:r>
              <a:rPr lang="es-MX" baseline="0"/>
              <a:t>s dinámicas</a:t>
            </a:r>
            <a:endParaRPr lang="es-MX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Qy</c:v>
          </c:tx>
          <c:xVal>
            <c:numRef>
              <c:f>'Análisis ok 1.5G'!$A$247:$A$267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'Análisis ok 1.5G'!$B$247:$B$267</c:f>
              <c:numCache>
                <c:formatCode>0.000</c:formatCode>
                <c:ptCount val="21"/>
                <c:pt idx="0">
                  <c:v>0.3613199469049877</c:v>
                </c:pt>
                <c:pt idx="1">
                  <c:v>0.17406721194771191</c:v>
                </c:pt>
                <c:pt idx="2">
                  <c:v>-0.1936049091120858</c:v>
                </c:pt>
                <c:pt idx="3">
                  <c:v>-0.36060696452546109</c:v>
                </c:pt>
                <c:pt idx="4">
                  <c:v>-0.15384255102152453</c:v>
                </c:pt>
                <c:pt idx="5">
                  <c:v>0.21237853614986327</c:v>
                </c:pt>
                <c:pt idx="6">
                  <c:v>0.35847083120260265</c:v>
                </c:pt>
                <c:pt idx="7">
                  <c:v>0.13301074383043077</c:v>
                </c:pt>
                <c:pt idx="8">
                  <c:v>-0.23031400213198036</c:v>
                </c:pt>
                <c:pt idx="9">
                  <c:v>-0.35491997727873109</c:v>
                </c:pt>
                <c:pt idx="10">
                  <c:v>-0.11165400400026654</c:v>
                </c:pt>
                <c:pt idx="11">
                  <c:v>0.24734052396814071</c:v>
                </c:pt>
                <c:pt idx="12">
                  <c:v>0.34996841635205328</c:v>
                </c:pt>
                <c:pt idx="13">
                  <c:v>8.985661682617517E-2</c:v>
                </c:pt>
                <c:pt idx="14">
                  <c:v>-0.26339090575533475</c:v>
                </c:pt>
                <c:pt idx="15">
                  <c:v>-0.34363568997139365</c:v>
                </c:pt>
                <c:pt idx="16">
                  <c:v>-6.7704606637053952E-2</c:v>
                </c:pt>
                <c:pt idx="17">
                  <c:v>0.27840180396937036</c:v>
                </c:pt>
                <c:pt idx="18">
                  <c:v>0.33594679051462928</c:v>
                </c:pt>
                <c:pt idx="19">
                  <c:v>4.5285397296828629E-2</c:v>
                </c:pt>
                <c:pt idx="20">
                  <c:v>-0.29231397745282378</c:v>
                </c:pt>
              </c:numCache>
            </c:numRef>
          </c:yVal>
          <c:smooth val="1"/>
        </c:ser>
        <c:ser>
          <c:idx val="1"/>
          <c:order val="1"/>
          <c:tx>
            <c:v>Qx</c:v>
          </c:tx>
          <c:xVal>
            <c:numRef>
              <c:f>'Análisis ok 1.5G'!$A$247:$A$267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'Análisis ok 1.5G'!$C$247:$C$267</c:f>
              <c:numCache>
                <c:formatCode>0.000</c:formatCode>
                <c:ptCount val="21"/>
                <c:pt idx="0">
                  <c:v>0</c:v>
                </c:pt>
                <c:pt idx="1">
                  <c:v>0.31662708310593629</c:v>
                </c:pt>
                <c:pt idx="2">
                  <c:v>0.30507252121278328</c:v>
                </c:pt>
                <c:pt idx="3">
                  <c:v>-2.2687467182477033E-2</c:v>
                </c:pt>
                <c:pt idx="4">
                  <c:v>-0.32693206255522378</c:v>
                </c:pt>
                <c:pt idx="5">
                  <c:v>-0.29231397745277998</c:v>
                </c:pt>
                <c:pt idx="6">
                  <c:v>4.5285397296902577E-2</c:v>
                </c:pt>
                <c:pt idx="7">
                  <c:v>0.3359467905146567</c:v>
                </c:pt>
                <c:pt idx="8">
                  <c:v>0.27840180396932285</c:v>
                </c:pt>
                <c:pt idx="9">
                  <c:v>-6.7704606637127185E-2</c:v>
                </c:pt>
                <c:pt idx="10">
                  <c:v>-0.34363568997141669</c:v>
                </c:pt>
                <c:pt idx="11">
                  <c:v>-0.26339090575528373</c:v>
                </c:pt>
                <c:pt idx="12">
                  <c:v>8.9856616826247376E-2</c:v>
                </c:pt>
                <c:pt idx="13">
                  <c:v>0.34996841635207182</c:v>
                </c:pt>
                <c:pt idx="14">
                  <c:v>0.24734052396808634</c:v>
                </c:pt>
                <c:pt idx="15">
                  <c:v>-0.11165400400033741</c:v>
                </c:pt>
                <c:pt idx="16">
                  <c:v>-0.35491997727874508</c:v>
                </c:pt>
                <c:pt idx="17">
                  <c:v>-0.23031400213192293</c:v>
                </c:pt>
                <c:pt idx="18">
                  <c:v>0.1330107438305001</c:v>
                </c:pt>
                <c:pt idx="19">
                  <c:v>0.35847083120261197</c:v>
                </c:pt>
                <c:pt idx="20">
                  <c:v>0.21237853614980293</c:v>
                </c:pt>
              </c:numCache>
            </c:numRef>
          </c:yVal>
          <c:smooth val="1"/>
        </c:ser>
        <c:axId val="98866304"/>
        <c:axId val="98868224"/>
      </c:scatterChart>
      <c:valAx>
        <c:axId val="98866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Tiempo en seg</a:t>
                </a:r>
              </a:p>
            </c:rich>
          </c:tx>
          <c:layout/>
        </c:title>
        <c:numFmt formatCode="General" sourceLinked="0"/>
        <c:tickLblPos val="nextTo"/>
        <c:spPr>
          <a:ln w="12700">
            <a:solidFill>
              <a:schemeClr val="tx1"/>
            </a:solidFill>
          </a:ln>
        </c:spPr>
        <c:crossAx val="98868224"/>
        <c:crosses val="autoZero"/>
        <c:crossBetween val="midCat"/>
      </c:valAx>
      <c:valAx>
        <c:axId val="988682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Fuerzas en ton</a:t>
                </a:r>
              </a:p>
            </c:rich>
          </c:tx>
          <c:layout/>
        </c:title>
        <c:numFmt formatCode="0.000" sourceLinked="1"/>
        <c:majorTickMark val="none"/>
        <c:tickLblPos val="nextTo"/>
        <c:spPr>
          <a:ln>
            <a:solidFill>
              <a:schemeClr val="tx1"/>
            </a:solidFill>
          </a:ln>
        </c:spPr>
        <c:crossAx val="9886630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600"/>
            </a:pPr>
            <a:r>
              <a:rPr lang="es-MX" sz="1600"/>
              <a:t>Cimentación</a:t>
            </a:r>
          </a:p>
        </c:rich>
      </c:tx>
      <c:layout/>
      <c:spPr>
        <a:ln>
          <a:noFill/>
        </a:ln>
      </c:spPr>
    </c:title>
    <c:plotArea>
      <c:layout>
        <c:manualLayout>
          <c:layoutTarget val="inner"/>
          <c:xMode val="edge"/>
          <c:yMode val="edge"/>
          <c:x val="3.7597112860892491E-2"/>
          <c:y val="0.13414370078740237"/>
          <c:w val="0.92610433070866138"/>
          <c:h val="0.72483860570060321"/>
        </c:manualLayout>
      </c:layout>
      <c:scatterChart>
        <c:scatterStyle val="lineMarker"/>
        <c:ser>
          <c:idx val="0"/>
          <c:order val="0"/>
          <c:marker>
            <c:symbol val="none"/>
          </c:marker>
          <c:dLbls>
            <c:dLbl>
              <c:idx val="1"/>
              <c:layout>
                <c:manualLayout>
                  <c:x val="-2.187226596611787E-7"/>
                  <c:y val="-4.6783625730994163E-2"/>
                </c:manualLayout>
              </c:layout>
              <c:showVal val="1"/>
              <c:showCatName val="1"/>
            </c:dLbl>
            <c:dLbl>
              <c:idx val="2"/>
              <c:layout>
                <c:manualLayout>
                  <c:x val="-3.6111111111111011E-2"/>
                  <c:y val="-4.6783625730994163E-2"/>
                </c:manualLayout>
              </c:layout>
              <c:showVal val="1"/>
              <c:showCatName val="1"/>
            </c:dLbl>
            <c:dLbl>
              <c:idx val="3"/>
              <c:layout>
                <c:manualLayout>
                  <c:x val="-0.11666666666666672"/>
                  <c:y val="-3.7426900584795517E-2"/>
                </c:manualLayout>
              </c:layout>
              <c:showVal val="1"/>
              <c:showCatName val="1"/>
            </c:dLbl>
            <c:dLbl>
              <c:idx val="4"/>
              <c:layout>
                <c:manualLayout>
                  <c:x val="-6.3656672040101451E-18"/>
                  <c:y val="-5.6140350877192845E-2"/>
                </c:manualLayout>
              </c:layout>
              <c:showVal val="1"/>
              <c:showCatName val="1"/>
            </c:dLbl>
            <c:showVal val="1"/>
            <c:showCatName val="1"/>
          </c:dLbls>
          <c:xVal>
            <c:numRef>
              <c:f>'Análisis ok'!$B$156:$B$160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11.39</c:v>
                </c:pt>
                <c:pt idx="3">
                  <c:v>11.39</c:v>
                </c:pt>
                <c:pt idx="4">
                  <c:v>0</c:v>
                </c:pt>
              </c:numCache>
            </c:numRef>
          </c:xVal>
          <c:yVal>
            <c:numRef>
              <c:f>'Análisis ok'!$C$156:$C$160</c:f>
              <c:numCache>
                <c:formatCode>General</c:formatCode>
                <c:ptCount val="5"/>
                <c:pt idx="0">
                  <c:v>0</c:v>
                </c:pt>
                <c:pt idx="1">
                  <c:v>5.52</c:v>
                </c:pt>
                <c:pt idx="2">
                  <c:v>5.52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</c:ser>
        <c:ser>
          <c:idx val="1"/>
          <c:order val="1"/>
          <c:tx>
            <c:v>CG</c:v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5"/>
          </c:marker>
          <c:dLbls>
            <c:showVal val="1"/>
            <c:showCatName val="1"/>
          </c:dLbls>
          <c:xVal>
            <c:numRef>
              <c:f>'Análisis ok'!$E$155</c:f>
              <c:numCache>
                <c:formatCode>0.00\ "m"</c:formatCode>
                <c:ptCount val="1"/>
                <c:pt idx="0">
                  <c:v>5.6950000000000003</c:v>
                </c:pt>
              </c:numCache>
            </c:numRef>
          </c:xVal>
          <c:yVal>
            <c:numRef>
              <c:f>'Análisis ok'!$G$155</c:f>
              <c:numCache>
                <c:formatCode>0.00\ "m"</c:formatCode>
                <c:ptCount val="1"/>
                <c:pt idx="0">
                  <c:v>2.76</c:v>
                </c:pt>
              </c:numCache>
            </c:numRef>
          </c:yVal>
        </c:ser>
        <c:dLbls>
          <c:showVal val="1"/>
          <c:showCatName val="1"/>
        </c:dLbls>
        <c:axId val="99340288"/>
        <c:axId val="99341824"/>
      </c:scatterChart>
      <c:valAx>
        <c:axId val="99340288"/>
        <c:scaling>
          <c:orientation val="minMax"/>
        </c:scaling>
        <c:axPos val="b"/>
        <c:numFmt formatCode="General" sourceLinked="1"/>
        <c:majorTickMark val="none"/>
        <c:tickLblPos val="nextTo"/>
        <c:crossAx val="99341824"/>
        <c:crosses val="autoZero"/>
        <c:crossBetween val="midCat"/>
      </c:valAx>
      <c:valAx>
        <c:axId val="99341824"/>
        <c:scaling>
          <c:orientation val="minMax"/>
        </c:scaling>
        <c:delete val="1"/>
        <c:axPos val="l"/>
        <c:numFmt formatCode="General" sourceLinked="1"/>
        <c:tickLblPos val="nextTo"/>
        <c:crossAx val="99340288"/>
        <c:crosses val="autoZero"/>
        <c:crossBetween val="midCat"/>
      </c:valAx>
      <c:spPr>
        <a:ln w="0"/>
      </c:spPr>
    </c:plotArea>
    <c:plotVisOnly val="1"/>
  </c:chart>
  <c:spPr>
    <a:ln w="0"/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6</xdr:row>
      <xdr:rowOff>19050</xdr:rowOff>
    </xdr:from>
    <xdr:to>
      <xdr:col>6</xdr:col>
      <xdr:colOff>138515</xdr:colOff>
      <xdr:row>30</xdr:row>
      <xdr:rowOff>142876</xdr:rowOff>
    </xdr:to>
    <xdr:pic>
      <xdr:nvPicPr>
        <xdr:cNvPr id="2" name="Picture 1" descr="planta de cim 19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190" t="4441" r="4785" b="3172"/>
        <a:stretch>
          <a:fillRect/>
        </a:stretch>
      </xdr:blipFill>
      <xdr:spPr bwMode="auto">
        <a:xfrm>
          <a:off x="304801" y="1123950"/>
          <a:ext cx="4767664" cy="401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219076</xdr:colOff>
      <xdr:row>58</xdr:row>
      <xdr:rowOff>152400</xdr:rowOff>
    </xdr:from>
    <xdr:to>
      <xdr:col>3</xdr:col>
      <xdr:colOff>485775</xdr:colOff>
      <xdr:row>60</xdr:row>
      <xdr:rowOff>66675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00101" y="10106025"/>
          <a:ext cx="2028824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2</xdr:col>
      <xdr:colOff>238125</xdr:colOff>
      <xdr:row>78</xdr:row>
      <xdr:rowOff>133348</xdr:rowOff>
    </xdr:from>
    <xdr:to>
      <xdr:col>4</xdr:col>
      <xdr:colOff>419100</xdr:colOff>
      <xdr:row>81</xdr:row>
      <xdr:rowOff>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666875" y="13573123"/>
          <a:ext cx="1876425" cy="40957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2</xdr:col>
      <xdr:colOff>123825</xdr:colOff>
      <xdr:row>89</xdr:row>
      <xdr:rowOff>114299</xdr:rowOff>
    </xdr:from>
    <xdr:to>
      <xdr:col>4</xdr:col>
      <xdr:colOff>419100</xdr:colOff>
      <xdr:row>92</xdr:row>
      <xdr:rowOff>47625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1552575" y="15478124"/>
          <a:ext cx="1990725" cy="47625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173935</xdr:colOff>
      <xdr:row>103</xdr:row>
      <xdr:rowOff>0</xdr:rowOff>
    </xdr:from>
    <xdr:to>
      <xdr:col>5</xdr:col>
      <xdr:colOff>333375</xdr:colOff>
      <xdr:row>104</xdr:row>
      <xdr:rowOff>38100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2517085" y="17754600"/>
          <a:ext cx="178821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4</xdr:col>
      <xdr:colOff>209550</xdr:colOff>
      <xdr:row>111</xdr:row>
      <xdr:rowOff>142875</xdr:rowOff>
    </xdr:from>
    <xdr:to>
      <xdr:col>6</xdr:col>
      <xdr:colOff>571500</xdr:colOff>
      <xdr:row>113</xdr:row>
      <xdr:rowOff>19050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3333750" y="19307175"/>
          <a:ext cx="217170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161925</xdr:colOff>
      <xdr:row>119</xdr:row>
      <xdr:rowOff>123826</xdr:rowOff>
    </xdr:from>
    <xdr:to>
      <xdr:col>5</xdr:col>
      <xdr:colOff>571500</xdr:colOff>
      <xdr:row>122</xdr:row>
      <xdr:rowOff>38101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2505075" y="20659726"/>
          <a:ext cx="2038350" cy="45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161925</xdr:colOff>
      <xdr:row>130</xdr:row>
      <xdr:rowOff>152400</xdr:rowOff>
    </xdr:from>
    <xdr:to>
      <xdr:col>5</xdr:col>
      <xdr:colOff>571500</xdr:colOff>
      <xdr:row>133</xdr:row>
      <xdr:rowOff>38100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505075" y="22612350"/>
          <a:ext cx="2038350" cy="428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180975</xdr:colOff>
      <xdr:row>139</xdr:row>
      <xdr:rowOff>142875</xdr:rowOff>
    </xdr:from>
    <xdr:to>
      <xdr:col>3</xdr:col>
      <xdr:colOff>523875</xdr:colOff>
      <xdr:row>141</xdr:row>
      <xdr:rowOff>19050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762000" y="24164925"/>
          <a:ext cx="2105025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0</xdr:col>
      <xdr:colOff>277468</xdr:colOff>
      <xdr:row>172</xdr:row>
      <xdr:rowOff>60462</xdr:rowOff>
    </xdr:from>
    <xdr:to>
      <xdr:col>6</xdr:col>
      <xdr:colOff>344143</xdr:colOff>
      <xdr:row>189</xdr:row>
      <xdr:rowOff>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266700</xdr:colOff>
      <xdr:row>168</xdr:row>
      <xdr:rowOff>190499</xdr:rowOff>
    </xdr:from>
    <xdr:to>
      <xdr:col>5</xdr:col>
      <xdr:colOff>666750</xdr:colOff>
      <xdr:row>171</xdr:row>
      <xdr:rowOff>66674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3390900" y="29279849"/>
          <a:ext cx="12477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466724</xdr:colOff>
      <xdr:row>192</xdr:row>
      <xdr:rowOff>161925</xdr:rowOff>
    </xdr:from>
    <xdr:to>
      <xdr:col>4</xdr:col>
      <xdr:colOff>628649</xdr:colOff>
      <xdr:row>195</xdr:row>
      <xdr:rowOff>38100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2809874" y="33270825"/>
          <a:ext cx="9429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4</xdr:col>
      <xdr:colOff>228600</xdr:colOff>
      <xdr:row>205</xdr:row>
      <xdr:rowOff>171450</xdr:rowOff>
    </xdr:from>
    <xdr:to>
      <xdr:col>5</xdr:col>
      <xdr:colOff>628650</xdr:colOff>
      <xdr:row>208</xdr:row>
      <xdr:rowOff>47625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3352800" y="35709225"/>
          <a:ext cx="12477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571500</xdr:colOff>
      <xdr:row>245</xdr:row>
      <xdr:rowOff>9526</xdr:rowOff>
    </xdr:from>
    <xdr:to>
      <xdr:col>9</xdr:col>
      <xdr:colOff>600487</xdr:colOff>
      <xdr:row>267</xdr:row>
      <xdr:rowOff>111816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561975</xdr:colOff>
      <xdr:row>329</xdr:row>
      <xdr:rowOff>19050</xdr:rowOff>
    </xdr:from>
    <xdr:to>
      <xdr:col>1</xdr:col>
      <xdr:colOff>47625</xdr:colOff>
      <xdr:row>335</xdr:row>
      <xdr:rowOff>28575</xdr:rowOff>
    </xdr:to>
    <xdr:sp macro="" textlink="">
      <xdr:nvSpPr>
        <xdr:cNvPr id="16" name="15 Abrir corchete"/>
        <xdr:cNvSpPr/>
      </xdr:nvSpPr>
      <xdr:spPr>
        <a:xfrm>
          <a:off x="561975" y="55826025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714374</xdr:colOff>
      <xdr:row>329</xdr:row>
      <xdr:rowOff>0</xdr:rowOff>
    </xdr:from>
    <xdr:to>
      <xdr:col>6</xdr:col>
      <xdr:colOff>782774</xdr:colOff>
      <xdr:row>335</xdr:row>
      <xdr:rowOff>10200</xdr:rowOff>
    </xdr:to>
    <xdr:sp macro="" textlink="">
      <xdr:nvSpPr>
        <xdr:cNvPr id="17" name="16 Cerrar corchete"/>
        <xdr:cNvSpPr/>
      </xdr:nvSpPr>
      <xdr:spPr>
        <a:xfrm>
          <a:off x="5648324" y="55806975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571500</xdr:colOff>
      <xdr:row>321</xdr:row>
      <xdr:rowOff>142875</xdr:rowOff>
    </xdr:from>
    <xdr:to>
      <xdr:col>1</xdr:col>
      <xdr:colOff>57150</xdr:colOff>
      <xdr:row>328</xdr:row>
      <xdr:rowOff>9525</xdr:rowOff>
    </xdr:to>
    <xdr:sp macro="" textlink="">
      <xdr:nvSpPr>
        <xdr:cNvPr id="18" name="17 Abrir corchete"/>
        <xdr:cNvSpPr/>
      </xdr:nvSpPr>
      <xdr:spPr>
        <a:xfrm>
          <a:off x="571500" y="54654450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723899</xdr:colOff>
      <xdr:row>321</xdr:row>
      <xdr:rowOff>142875</xdr:rowOff>
    </xdr:from>
    <xdr:to>
      <xdr:col>6</xdr:col>
      <xdr:colOff>792299</xdr:colOff>
      <xdr:row>328</xdr:row>
      <xdr:rowOff>10200</xdr:rowOff>
    </xdr:to>
    <xdr:sp macro="" textlink="">
      <xdr:nvSpPr>
        <xdr:cNvPr id="19" name="18 Cerrar corchete"/>
        <xdr:cNvSpPr/>
      </xdr:nvSpPr>
      <xdr:spPr>
        <a:xfrm>
          <a:off x="5657849" y="54654450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315</xdr:row>
      <xdr:rowOff>0</xdr:rowOff>
    </xdr:from>
    <xdr:to>
      <xdr:col>1</xdr:col>
      <xdr:colOff>66675</xdr:colOff>
      <xdr:row>321</xdr:row>
      <xdr:rowOff>0</xdr:rowOff>
    </xdr:to>
    <xdr:sp macro="" textlink="">
      <xdr:nvSpPr>
        <xdr:cNvPr id="20" name="19 Abrir corchete"/>
        <xdr:cNvSpPr/>
      </xdr:nvSpPr>
      <xdr:spPr>
        <a:xfrm>
          <a:off x="581025" y="53540025"/>
          <a:ext cx="66675" cy="971550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714374</xdr:colOff>
      <xdr:row>315</xdr:row>
      <xdr:rowOff>0</xdr:rowOff>
    </xdr:from>
    <xdr:to>
      <xdr:col>6</xdr:col>
      <xdr:colOff>782774</xdr:colOff>
      <xdr:row>321</xdr:row>
      <xdr:rowOff>0</xdr:rowOff>
    </xdr:to>
    <xdr:sp macro="" textlink="">
      <xdr:nvSpPr>
        <xdr:cNvPr id="21" name="20 Cerrar corchete"/>
        <xdr:cNvSpPr/>
      </xdr:nvSpPr>
      <xdr:spPr>
        <a:xfrm>
          <a:off x="5648324" y="53540025"/>
          <a:ext cx="68400" cy="97155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9525</xdr:colOff>
      <xdr:row>307</xdr:row>
      <xdr:rowOff>152400</xdr:rowOff>
    </xdr:from>
    <xdr:to>
      <xdr:col>1</xdr:col>
      <xdr:colOff>76200</xdr:colOff>
      <xdr:row>314</xdr:row>
      <xdr:rowOff>0</xdr:rowOff>
    </xdr:to>
    <xdr:sp macro="" textlink="">
      <xdr:nvSpPr>
        <xdr:cNvPr id="22" name="21 Abrir corchete"/>
        <xdr:cNvSpPr/>
      </xdr:nvSpPr>
      <xdr:spPr>
        <a:xfrm>
          <a:off x="590550" y="52397025"/>
          <a:ext cx="66675" cy="98107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723899</xdr:colOff>
      <xdr:row>307</xdr:row>
      <xdr:rowOff>152400</xdr:rowOff>
    </xdr:from>
    <xdr:to>
      <xdr:col>6</xdr:col>
      <xdr:colOff>792299</xdr:colOff>
      <xdr:row>314</xdr:row>
      <xdr:rowOff>0</xdr:rowOff>
    </xdr:to>
    <xdr:sp macro="" textlink="">
      <xdr:nvSpPr>
        <xdr:cNvPr id="23" name="22 Cerrar corchete"/>
        <xdr:cNvSpPr/>
      </xdr:nvSpPr>
      <xdr:spPr>
        <a:xfrm>
          <a:off x="5657849" y="52397025"/>
          <a:ext cx="68400" cy="981075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123825</xdr:colOff>
      <xdr:row>299</xdr:row>
      <xdr:rowOff>0</xdr:rowOff>
    </xdr:from>
    <xdr:to>
      <xdr:col>1</xdr:col>
      <xdr:colOff>190500</xdr:colOff>
      <xdr:row>305</xdr:row>
      <xdr:rowOff>28575</xdr:rowOff>
    </xdr:to>
    <xdr:sp macro="" textlink="">
      <xdr:nvSpPr>
        <xdr:cNvPr id="24" name="23 Abrir corchete"/>
        <xdr:cNvSpPr/>
      </xdr:nvSpPr>
      <xdr:spPr>
        <a:xfrm>
          <a:off x="704850" y="50949225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590549</xdr:colOff>
      <xdr:row>299</xdr:row>
      <xdr:rowOff>0</xdr:rowOff>
    </xdr:from>
    <xdr:to>
      <xdr:col>6</xdr:col>
      <xdr:colOff>658949</xdr:colOff>
      <xdr:row>305</xdr:row>
      <xdr:rowOff>29250</xdr:rowOff>
    </xdr:to>
    <xdr:sp macro="" textlink="">
      <xdr:nvSpPr>
        <xdr:cNvPr id="25" name="24 Cerrar corchete"/>
        <xdr:cNvSpPr/>
      </xdr:nvSpPr>
      <xdr:spPr>
        <a:xfrm>
          <a:off x="5524499" y="50949225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270</xdr:row>
      <xdr:rowOff>0</xdr:rowOff>
    </xdr:from>
    <xdr:to>
      <xdr:col>1</xdr:col>
      <xdr:colOff>66675</xdr:colOff>
      <xdr:row>276</xdr:row>
      <xdr:rowOff>28575</xdr:rowOff>
    </xdr:to>
    <xdr:sp macro="" textlink="">
      <xdr:nvSpPr>
        <xdr:cNvPr id="26" name="25 Abrir corchete"/>
        <xdr:cNvSpPr/>
      </xdr:nvSpPr>
      <xdr:spPr>
        <a:xfrm>
          <a:off x="581025" y="46253400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781049</xdr:colOff>
      <xdr:row>270</xdr:row>
      <xdr:rowOff>0</xdr:rowOff>
    </xdr:from>
    <xdr:to>
      <xdr:col>2</xdr:col>
      <xdr:colOff>1724</xdr:colOff>
      <xdr:row>276</xdr:row>
      <xdr:rowOff>29250</xdr:rowOff>
    </xdr:to>
    <xdr:sp macro="" textlink="">
      <xdr:nvSpPr>
        <xdr:cNvPr id="27" name="26 Cerrar corchete"/>
        <xdr:cNvSpPr/>
      </xdr:nvSpPr>
      <xdr:spPr>
        <a:xfrm>
          <a:off x="1362074" y="46253400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6</xdr:row>
      <xdr:rowOff>19050</xdr:rowOff>
    </xdr:from>
    <xdr:to>
      <xdr:col>6</xdr:col>
      <xdr:colOff>138515</xdr:colOff>
      <xdr:row>30</xdr:row>
      <xdr:rowOff>142876</xdr:rowOff>
    </xdr:to>
    <xdr:pic>
      <xdr:nvPicPr>
        <xdr:cNvPr id="1031" name="Picture 1" descr="planta de cim 19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190" t="4441" r="4785" b="3172"/>
        <a:stretch>
          <a:fillRect/>
        </a:stretch>
      </xdr:blipFill>
      <xdr:spPr bwMode="auto">
        <a:xfrm>
          <a:off x="304801" y="1028700"/>
          <a:ext cx="4765180" cy="401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219076</xdr:colOff>
      <xdr:row>58</xdr:row>
      <xdr:rowOff>152400</xdr:rowOff>
    </xdr:from>
    <xdr:to>
      <xdr:col>3</xdr:col>
      <xdr:colOff>485775</xdr:colOff>
      <xdr:row>60</xdr:row>
      <xdr:rowOff>66675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800101" y="10182225"/>
          <a:ext cx="2028824" cy="295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2</xdr:col>
      <xdr:colOff>238125</xdr:colOff>
      <xdr:row>78</xdr:row>
      <xdr:rowOff>133348</xdr:rowOff>
    </xdr:from>
    <xdr:to>
      <xdr:col>4</xdr:col>
      <xdr:colOff>419100</xdr:colOff>
      <xdr:row>81</xdr:row>
      <xdr:rowOff>0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1466850" y="14068423"/>
          <a:ext cx="1876425" cy="48577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2</xdr:col>
      <xdr:colOff>123825</xdr:colOff>
      <xdr:row>89</xdr:row>
      <xdr:rowOff>114299</xdr:rowOff>
    </xdr:from>
    <xdr:to>
      <xdr:col>4</xdr:col>
      <xdr:colOff>419100</xdr:colOff>
      <xdr:row>92</xdr:row>
      <xdr:rowOff>47625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1352550" y="15249524"/>
          <a:ext cx="1990725" cy="47625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173935</xdr:colOff>
      <xdr:row>102</xdr:row>
      <xdr:rowOff>152400</xdr:rowOff>
    </xdr:from>
    <xdr:to>
      <xdr:col>5</xdr:col>
      <xdr:colOff>333375</xdr:colOff>
      <xdr:row>104</xdr:row>
      <xdr:rowOff>28575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2517085" y="17745075"/>
          <a:ext cx="178821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4</xdr:col>
      <xdr:colOff>209550</xdr:colOff>
      <xdr:row>111</xdr:row>
      <xdr:rowOff>142875</xdr:rowOff>
    </xdr:from>
    <xdr:to>
      <xdr:col>6</xdr:col>
      <xdr:colOff>571500</xdr:colOff>
      <xdr:row>113</xdr:row>
      <xdr:rowOff>19050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3333750" y="19307175"/>
          <a:ext cx="217170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161925</xdr:colOff>
      <xdr:row>119</xdr:row>
      <xdr:rowOff>123826</xdr:rowOff>
    </xdr:from>
    <xdr:to>
      <xdr:col>5</xdr:col>
      <xdr:colOff>571500</xdr:colOff>
      <xdr:row>122</xdr:row>
      <xdr:rowOff>38101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2505075" y="20431126"/>
          <a:ext cx="2019300" cy="45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161925</xdr:colOff>
      <xdr:row>130</xdr:row>
      <xdr:rowOff>152400</xdr:rowOff>
    </xdr:from>
    <xdr:to>
      <xdr:col>5</xdr:col>
      <xdr:colOff>571500</xdr:colOff>
      <xdr:row>133</xdr:row>
      <xdr:rowOff>38100</xdr:rowOff>
    </xdr:to>
    <xdr:sp macro="" textlink="">
      <xdr:nvSpPr>
        <xdr:cNvPr id="16" name="Rectangle 2"/>
        <xdr:cNvSpPr>
          <a:spLocks noChangeArrowheads="1"/>
        </xdr:cNvSpPr>
      </xdr:nvSpPr>
      <xdr:spPr bwMode="auto">
        <a:xfrm>
          <a:off x="2505075" y="22383750"/>
          <a:ext cx="2019300" cy="428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180975</xdr:colOff>
      <xdr:row>139</xdr:row>
      <xdr:rowOff>142875</xdr:rowOff>
    </xdr:from>
    <xdr:to>
      <xdr:col>3</xdr:col>
      <xdr:colOff>523875</xdr:colOff>
      <xdr:row>141</xdr:row>
      <xdr:rowOff>19050</xdr:rowOff>
    </xdr:to>
    <xdr:sp macro="" textlink="">
      <xdr:nvSpPr>
        <xdr:cNvPr id="17" name="Rectangle 2"/>
        <xdr:cNvSpPr>
          <a:spLocks noChangeArrowheads="1"/>
        </xdr:cNvSpPr>
      </xdr:nvSpPr>
      <xdr:spPr bwMode="auto">
        <a:xfrm>
          <a:off x="762000" y="23936325"/>
          <a:ext cx="2105025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0</xdr:col>
      <xdr:colOff>277468</xdr:colOff>
      <xdr:row>172</xdr:row>
      <xdr:rowOff>60462</xdr:rowOff>
    </xdr:from>
    <xdr:to>
      <xdr:col>6</xdr:col>
      <xdr:colOff>344143</xdr:colOff>
      <xdr:row>189</xdr:row>
      <xdr:rowOff>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266700</xdr:colOff>
      <xdr:row>168</xdr:row>
      <xdr:rowOff>180974</xdr:rowOff>
    </xdr:from>
    <xdr:to>
      <xdr:col>5</xdr:col>
      <xdr:colOff>666750</xdr:colOff>
      <xdr:row>171</xdr:row>
      <xdr:rowOff>57149</xdr:rowOff>
    </xdr:to>
    <xdr:sp macro="" textlink="">
      <xdr:nvSpPr>
        <xdr:cNvPr id="18" name="Rectangle 2"/>
        <xdr:cNvSpPr>
          <a:spLocks noChangeArrowheads="1"/>
        </xdr:cNvSpPr>
      </xdr:nvSpPr>
      <xdr:spPr bwMode="auto">
        <a:xfrm>
          <a:off x="3390900" y="29270324"/>
          <a:ext cx="12477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466724</xdr:colOff>
      <xdr:row>192</xdr:row>
      <xdr:rowOff>161925</xdr:rowOff>
    </xdr:from>
    <xdr:to>
      <xdr:col>4</xdr:col>
      <xdr:colOff>628649</xdr:colOff>
      <xdr:row>195</xdr:row>
      <xdr:rowOff>38100</xdr:rowOff>
    </xdr:to>
    <xdr:sp macro="" textlink="">
      <xdr:nvSpPr>
        <xdr:cNvPr id="19" name="Rectangle 2"/>
        <xdr:cNvSpPr>
          <a:spLocks noChangeArrowheads="1"/>
        </xdr:cNvSpPr>
      </xdr:nvSpPr>
      <xdr:spPr bwMode="auto">
        <a:xfrm>
          <a:off x="2809874" y="33432750"/>
          <a:ext cx="9429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4</xdr:col>
      <xdr:colOff>361950</xdr:colOff>
      <xdr:row>205</xdr:row>
      <xdr:rowOff>171450</xdr:rowOff>
    </xdr:from>
    <xdr:to>
      <xdr:col>5</xdr:col>
      <xdr:colOff>628650</xdr:colOff>
      <xdr:row>208</xdr:row>
      <xdr:rowOff>47625</xdr:rowOff>
    </xdr:to>
    <xdr:sp macro="" textlink="">
      <xdr:nvSpPr>
        <xdr:cNvPr id="20" name="Rectangle 2"/>
        <xdr:cNvSpPr>
          <a:spLocks noChangeArrowheads="1"/>
        </xdr:cNvSpPr>
      </xdr:nvSpPr>
      <xdr:spPr bwMode="auto">
        <a:xfrm>
          <a:off x="3486150" y="35709225"/>
          <a:ext cx="111442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0</xdr:col>
      <xdr:colOff>114300</xdr:colOff>
      <xdr:row>244</xdr:row>
      <xdr:rowOff>123826</xdr:rowOff>
    </xdr:from>
    <xdr:to>
      <xdr:col>6</xdr:col>
      <xdr:colOff>257587</xdr:colOff>
      <xdr:row>267</xdr:row>
      <xdr:rowOff>64191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561975</xdr:colOff>
      <xdr:row>329</xdr:row>
      <xdr:rowOff>19050</xdr:rowOff>
    </xdr:from>
    <xdr:to>
      <xdr:col>1</xdr:col>
      <xdr:colOff>47625</xdr:colOff>
      <xdr:row>335</xdr:row>
      <xdr:rowOff>28575</xdr:rowOff>
    </xdr:to>
    <xdr:sp macro="" textlink="">
      <xdr:nvSpPr>
        <xdr:cNvPr id="27" name="26 Abrir corchete"/>
        <xdr:cNvSpPr/>
      </xdr:nvSpPr>
      <xdr:spPr>
        <a:xfrm>
          <a:off x="561975" y="57283350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714374</xdr:colOff>
      <xdr:row>329</xdr:row>
      <xdr:rowOff>0</xdr:rowOff>
    </xdr:from>
    <xdr:to>
      <xdr:col>6</xdr:col>
      <xdr:colOff>782774</xdr:colOff>
      <xdr:row>335</xdr:row>
      <xdr:rowOff>10200</xdr:rowOff>
    </xdr:to>
    <xdr:sp macro="" textlink="">
      <xdr:nvSpPr>
        <xdr:cNvPr id="29" name="28 Cerrar corchete"/>
        <xdr:cNvSpPr/>
      </xdr:nvSpPr>
      <xdr:spPr>
        <a:xfrm>
          <a:off x="5648324" y="56292750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571500</xdr:colOff>
      <xdr:row>321</xdr:row>
      <xdr:rowOff>142875</xdr:rowOff>
    </xdr:from>
    <xdr:to>
      <xdr:col>1</xdr:col>
      <xdr:colOff>57150</xdr:colOff>
      <xdr:row>328</xdr:row>
      <xdr:rowOff>9525</xdr:rowOff>
    </xdr:to>
    <xdr:sp macro="" textlink="">
      <xdr:nvSpPr>
        <xdr:cNvPr id="30" name="29 Abrir corchete"/>
        <xdr:cNvSpPr/>
      </xdr:nvSpPr>
      <xdr:spPr>
        <a:xfrm>
          <a:off x="571500" y="56111775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723899</xdr:colOff>
      <xdr:row>321</xdr:row>
      <xdr:rowOff>142875</xdr:rowOff>
    </xdr:from>
    <xdr:to>
      <xdr:col>6</xdr:col>
      <xdr:colOff>792299</xdr:colOff>
      <xdr:row>328</xdr:row>
      <xdr:rowOff>10200</xdr:rowOff>
    </xdr:to>
    <xdr:sp macro="" textlink="">
      <xdr:nvSpPr>
        <xdr:cNvPr id="31" name="30 Cerrar corchete"/>
        <xdr:cNvSpPr/>
      </xdr:nvSpPr>
      <xdr:spPr>
        <a:xfrm>
          <a:off x="5657849" y="55140225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315</xdr:row>
      <xdr:rowOff>0</xdr:rowOff>
    </xdr:from>
    <xdr:to>
      <xdr:col>1</xdr:col>
      <xdr:colOff>66675</xdr:colOff>
      <xdr:row>321</xdr:row>
      <xdr:rowOff>0</xdr:rowOff>
    </xdr:to>
    <xdr:sp macro="" textlink="">
      <xdr:nvSpPr>
        <xdr:cNvPr id="32" name="31 Abrir corchete"/>
        <xdr:cNvSpPr/>
      </xdr:nvSpPr>
      <xdr:spPr>
        <a:xfrm>
          <a:off x="581025" y="54835425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714374</xdr:colOff>
      <xdr:row>315</xdr:row>
      <xdr:rowOff>0</xdr:rowOff>
    </xdr:from>
    <xdr:to>
      <xdr:col>6</xdr:col>
      <xdr:colOff>782774</xdr:colOff>
      <xdr:row>321</xdr:row>
      <xdr:rowOff>0</xdr:rowOff>
    </xdr:to>
    <xdr:sp macro="" textlink="">
      <xdr:nvSpPr>
        <xdr:cNvPr id="33" name="32 Cerrar corchete"/>
        <xdr:cNvSpPr/>
      </xdr:nvSpPr>
      <xdr:spPr>
        <a:xfrm>
          <a:off x="5648324" y="53863875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9525</xdr:colOff>
      <xdr:row>307</xdr:row>
      <xdr:rowOff>152400</xdr:rowOff>
    </xdr:from>
    <xdr:to>
      <xdr:col>1</xdr:col>
      <xdr:colOff>76200</xdr:colOff>
      <xdr:row>314</xdr:row>
      <xdr:rowOff>0</xdr:rowOff>
    </xdr:to>
    <xdr:sp macro="" textlink="">
      <xdr:nvSpPr>
        <xdr:cNvPr id="34" name="33 Abrir corchete"/>
        <xdr:cNvSpPr/>
      </xdr:nvSpPr>
      <xdr:spPr>
        <a:xfrm>
          <a:off x="590550" y="53530500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723899</xdr:colOff>
      <xdr:row>307</xdr:row>
      <xdr:rowOff>152400</xdr:rowOff>
    </xdr:from>
    <xdr:to>
      <xdr:col>6</xdr:col>
      <xdr:colOff>792299</xdr:colOff>
      <xdr:row>314</xdr:row>
      <xdr:rowOff>0</xdr:rowOff>
    </xdr:to>
    <xdr:sp macro="" textlink="">
      <xdr:nvSpPr>
        <xdr:cNvPr id="35" name="34 Cerrar corchete"/>
        <xdr:cNvSpPr/>
      </xdr:nvSpPr>
      <xdr:spPr>
        <a:xfrm>
          <a:off x="5657849" y="52558950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123825</xdr:colOff>
      <xdr:row>299</xdr:row>
      <xdr:rowOff>0</xdr:rowOff>
    </xdr:from>
    <xdr:to>
      <xdr:col>1</xdr:col>
      <xdr:colOff>190500</xdr:colOff>
      <xdr:row>305</xdr:row>
      <xdr:rowOff>28575</xdr:rowOff>
    </xdr:to>
    <xdr:sp macro="" textlink="">
      <xdr:nvSpPr>
        <xdr:cNvPr id="36" name="35 Abrir corchete"/>
        <xdr:cNvSpPr/>
      </xdr:nvSpPr>
      <xdr:spPr>
        <a:xfrm>
          <a:off x="704850" y="51920775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590549</xdr:colOff>
      <xdr:row>299</xdr:row>
      <xdr:rowOff>0</xdr:rowOff>
    </xdr:from>
    <xdr:to>
      <xdr:col>6</xdr:col>
      <xdr:colOff>658949</xdr:colOff>
      <xdr:row>305</xdr:row>
      <xdr:rowOff>29250</xdr:rowOff>
    </xdr:to>
    <xdr:sp macro="" textlink="">
      <xdr:nvSpPr>
        <xdr:cNvPr id="37" name="36 Cerrar corchete"/>
        <xdr:cNvSpPr/>
      </xdr:nvSpPr>
      <xdr:spPr>
        <a:xfrm>
          <a:off x="5524499" y="50301525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270</xdr:row>
      <xdr:rowOff>0</xdr:rowOff>
    </xdr:from>
    <xdr:to>
      <xdr:col>1</xdr:col>
      <xdr:colOff>66675</xdr:colOff>
      <xdr:row>276</xdr:row>
      <xdr:rowOff>28575</xdr:rowOff>
    </xdr:to>
    <xdr:sp macro="" textlink="">
      <xdr:nvSpPr>
        <xdr:cNvPr id="38" name="37 Abrir corchete"/>
        <xdr:cNvSpPr/>
      </xdr:nvSpPr>
      <xdr:spPr>
        <a:xfrm>
          <a:off x="581025" y="46577250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781049</xdr:colOff>
      <xdr:row>270</xdr:row>
      <xdr:rowOff>0</xdr:rowOff>
    </xdr:from>
    <xdr:to>
      <xdr:col>2</xdr:col>
      <xdr:colOff>1724</xdr:colOff>
      <xdr:row>276</xdr:row>
      <xdr:rowOff>29250</xdr:rowOff>
    </xdr:to>
    <xdr:sp macro="" textlink="">
      <xdr:nvSpPr>
        <xdr:cNvPr id="39" name="38 Cerrar corchete"/>
        <xdr:cNvSpPr/>
      </xdr:nvSpPr>
      <xdr:spPr>
        <a:xfrm>
          <a:off x="1362074" y="46577250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6</xdr:row>
      <xdr:rowOff>19050</xdr:rowOff>
    </xdr:from>
    <xdr:to>
      <xdr:col>6</xdr:col>
      <xdr:colOff>138515</xdr:colOff>
      <xdr:row>30</xdr:row>
      <xdr:rowOff>142876</xdr:rowOff>
    </xdr:to>
    <xdr:pic>
      <xdr:nvPicPr>
        <xdr:cNvPr id="2" name="Picture 1" descr="planta de cim 19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190" t="4441" r="4785" b="3172"/>
        <a:stretch>
          <a:fillRect/>
        </a:stretch>
      </xdr:blipFill>
      <xdr:spPr bwMode="auto">
        <a:xfrm>
          <a:off x="304801" y="1123950"/>
          <a:ext cx="4767664" cy="401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219076</xdr:colOff>
      <xdr:row>58</xdr:row>
      <xdr:rowOff>152400</xdr:rowOff>
    </xdr:from>
    <xdr:to>
      <xdr:col>3</xdr:col>
      <xdr:colOff>485775</xdr:colOff>
      <xdr:row>60</xdr:row>
      <xdr:rowOff>66675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00101" y="10106025"/>
          <a:ext cx="2028824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2</xdr:col>
      <xdr:colOff>238125</xdr:colOff>
      <xdr:row>78</xdr:row>
      <xdr:rowOff>133348</xdr:rowOff>
    </xdr:from>
    <xdr:to>
      <xdr:col>4</xdr:col>
      <xdr:colOff>419100</xdr:colOff>
      <xdr:row>81</xdr:row>
      <xdr:rowOff>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666875" y="13573123"/>
          <a:ext cx="1876425" cy="40957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2</xdr:col>
      <xdr:colOff>123825</xdr:colOff>
      <xdr:row>89</xdr:row>
      <xdr:rowOff>114299</xdr:rowOff>
    </xdr:from>
    <xdr:to>
      <xdr:col>4</xdr:col>
      <xdr:colOff>419100</xdr:colOff>
      <xdr:row>92</xdr:row>
      <xdr:rowOff>47625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1552575" y="15478124"/>
          <a:ext cx="1990725" cy="47625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173935</xdr:colOff>
      <xdr:row>102</xdr:row>
      <xdr:rowOff>152400</xdr:rowOff>
    </xdr:from>
    <xdr:to>
      <xdr:col>5</xdr:col>
      <xdr:colOff>333375</xdr:colOff>
      <xdr:row>104</xdr:row>
      <xdr:rowOff>28575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2517085" y="17745075"/>
          <a:ext cx="178821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4</xdr:col>
      <xdr:colOff>209550</xdr:colOff>
      <xdr:row>111</xdr:row>
      <xdr:rowOff>142875</xdr:rowOff>
    </xdr:from>
    <xdr:to>
      <xdr:col>6</xdr:col>
      <xdr:colOff>571500</xdr:colOff>
      <xdr:row>113</xdr:row>
      <xdr:rowOff>19050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3333750" y="19307175"/>
          <a:ext cx="217170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161925</xdr:colOff>
      <xdr:row>119</xdr:row>
      <xdr:rowOff>123826</xdr:rowOff>
    </xdr:from>
    <xdr:to>
      <xdr:col>5</xdr:col>
      <xdr:colOff>571500</xdr:colOff>
      <xdr:row>122</xdr:row>
      <xdr:rowOff>38101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2505075" y="20659726"/>
          <a:ext cx="2038350" cy="45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161925</xdr:colOff>
      <xdr:row>130</xdr:row>
      <xdr:rowOff>152400</xdr:rowOff>
    </xdr:from>
    <xdr:to>
      <xdr:col>5</xdr:col>
      <xdr:colOff>571500</xdr:colOff>
      <xdr:row>133</xdr:row>
      <xdr:rowOff>38100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505075" y="22612350"/>
          <a:ext cx="2038350" cy="428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180975</xdr:colOff>
      <xdr:row>139</xdr:row>
      <xdr:rowOff>142875</xdr:rowOff>
    </xdr:from>
    <xdr:to>
      <xdr:col>3</xdr:col>
      <xdr:colOff>523875</xdr:colOff>
      <xdr:row>141</xdr:row>
      <xdr:rowOff>19050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762000" y="24164925"/>
          <a:ext cx="2105025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0</xdr:col>
      <xdr:colOff>277468</xdr:colOff>
      <xdr:row>172</xdr:row>
      <xdr:rowOff>60462</xdr:rowOff>
    </xdr:from>
    <xdr:to>
      <xdr:col>6</xdr:col>
      <xdr:colOff>344143</xdr:colOff>
      <xdr:row>189</xdr:row>
      <xdr:rowOff>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266700</xdr:colOff>
      <xdr:row>168</xdr:row>
      <xdr:rowOff>180974</xdr:rowOff>
    </xdr:from>
    <xdr:to>
      <xdr:col>5</xdr:col>
      <xdr:colOff>666750</xdr:colOff>
      <xdr:row>171</xdr:row>
      <xdr:rowOff>57149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3390900" y="29270324"/>
          <a:ext cx="12477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466724</xdr:colOff>
      <xdr:row>192</xdr:row>
      <xdr:rowOff>161925</xdr:rowOff>
    </xdr:from>
    <xdr:to>
      <xdr:col>4</xdr:col>
      <xdr:colOff>628649</xdr:colOff>
      <xdr:row>195</xdr:row>
      <xdr:rowOff>38100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2809874" y="33270825"/>
          <a:ext cx="9429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4</xdr:col>
      <xdr:colOff>228600</xdr:colOff>
      <xdr:row>205</xdr:row>
      <xdr:rowOff>171450</xdr:rowOff>
    </xdr:from>
    <xdr:to>
      <xdr:col>5</xdr:col>
      <xdr:colOff>628650</xdr:colOff>
      <xdr:row>208</xdr:row>
      <xdr:rowOff>47625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3352800" y="35709225"/>
          <a:ext cx="12477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0</xdr:col>
      <xdr:colOff>114300</xdr:colOff>
      <xdr:row>244</xdr:row>
      <xdr:rowOff>123826</xdr:rowOff>
    </xdr:from>
    <xdr:to>
      <xdr:col>6</xdr:col>
      <xdr:colOff>257587</xdr:colOff>
      <xdr:row>267</xdr:row>
      <xdr:rowOff>64191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561975</xdr:colOff>
      <xdr:row>329</xdr:row>
      <xdr:rowOff>19050</xdr:rowOff>
    </xdr:from>
    <xdr:to>
      <xdr:col>1</xdr:col>
      <xdr:colOff>47625</xdr:colOff>
      <xdr:row>335</xdr:row>
      <xdr:rowOff>28575</xdr:rowOff>
    </xdr:to>
    <xdr:sp macro="" textlink="">
      <xdr:nvSpPr>
        <xdr:cNvPr id="16" name="15 Abrir corchete"/>
        <xdr:cNvSpPr/>
      </xdr:nvSpPr>
      <xdr:spPr>
        <a:xfrm>
          <a:off x="561975" y="55826025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714374</xdr:colOff>
      <xdr:row>329</xdr:row>
      <xdr:rowOff>0</xdr:rowOff>
    </xdr:from>
    <xdr:to>
      <xdr:col>6</xdr:col>
      <xdr:colOff>782774</xdr:colOff>
      <xdr:row>335</xdr:row>
      <xdr:rowOff>10200</xdr:rowOff>
    </xdr:to>
    <xdr:sp macro="" textlink="">
      <xdr:nvSpPr>
        <xdr:cNvPr id="17" name="16 Cerrar corchete"/>
        <xdr:cNvSpPr/>
      </xdr:nvSpPr>
      <xdr:spPr>
        <a:xfrm>
          <a:off x="5648324" y="55806975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571500</xdr:colOff>
      <xdr:row>321</xdr:row>
      <xdr:rowOff>142875</xdr:rowOff>
    </xdr:from>
    <xdr:to>
      <xdr:col>1</xdr:col>
      <xdr:colOff>57150</xdr:colOff>
      <xdr:row>328</xdr:row>
      <xdr:rowOff>9525</xdr:rowOff>
    </xdr:to>
    <xdr:sp macro="" textlink="">
      <xdr:nvSpPr>
        <xdr:cNvPr id="18" name="17 Abrir corchete"/>
        <xdr:cNvSpPr/>
      </xdr:nvSpPr>
      <xdr:spPr>
        <a:xfrm>
          <a:off x="571500" y="54654450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723899</xdr:colOff>
      <xdr:row>321</xdr:row>
      <xdr:rowOff>142875</xdr:rowOff>
    </xdr:from>
    <xdr:to>
      <xdr:col>6</xdr:col>
      <xdr:colOff>792299</xdr:colOff>
      <xdr:row>328</xdr:row>
      <xdr:rowOff>10200</xdr:rowOff>
    </xdr:to>
    <xdr:sp macro="" textlink="">
      <xdr:nvSpPr>
        <xdr:cNvPr id="19" name="18 Cerrar corchete"/>
        <xdr:cNvSpPr/>
      </xdr:nvSpPr>
      <xdr:spPr>
        <a:xfrm>
          <a:off x="5657849" y="54654450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315</xdr:row>
      <xdr:rowOff>0</xdr:rowOff>
    </xdr:from>
    <xdr:to>
      <xdr:col>1</xdr:col>
      <xdr:colOff>66675</xdr:colOff>
      <xdr:row>321</xdr:row>
      <xdr:rowOff>0</xdr:rowOff>
    </xdr:to>
    <xdr:sp macro="" textlink="">
      <xdr:nvSpPr>
        <xdr:cNvPr id="20" name="19 Abrir corchete"/>
        <xdr:cNvSpPr/>
      </xdr:nvSpPr>
      <xdr:spPr>
        <a:xfrm>
          <a:off x="581025" y="53540025"/>
          <a:ext cx="66675" cy="971550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714374</xdr:colOff>
      <xdr:row>315</xdr:row>
      <xdr:rowOff>0</xdr:rowOff>
    </xdr:from>
    <xdr:to>
      <xdr:col>6</xdr:col>
      <xdr:colOff>782774</xdr:colOff>
      <xdr:row>321</xdr:row>
      <xdr:rowOff>0</xdr:rowOff>
    </xdr:to>
    <xdr:sp macro="" textlink="">
      <xdr:nvSpPr>
        <xdr:cNvPr id="21" name="20 Cerrar corchete"/>
        <xdr:cNvSpPr/>
      </xdr:nvSpPr>
      <xdr:spPr>
        <a:xfrm>
          <a:off x="5648324" y="53540025"/>
          <a:ext cx="68400" cy="97155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9525</xdr:colOff>
      <xdr:row>307</xdr:row>
      <xdr:rowOff>152400</xdr:rowOff>
    </xdr:from>
    <xdr:to>
      <xdr:col>1</xdr:col>
      <xdr:colOff>76200</xdr:colOff>
      <xdr:row>314</xdr:row>
      <xdr:rowOff>0</xdr:rowOff>
    </xdr:to>
    <xdr:sp macro="" textlink="">
      <xdr:nvSpPr>
        <xdr:cNvPr id="22" name="21 Abrir corchete"/>
        <xdr:cNvSpPr/>
      </xdr:nvSpPr>
      <xdr:spPr>
        <a:xfrm>
          <a:off x="590550" y="52397025"/>
          <a:ext cx="66675" cy="98107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723899</xdr:colOff>
      <xdr:row>307</xdr:row>
      <xdr:rowOff>152400</xdr:rowOff>
    </xdr:from>
    <xdr:to>
      <xdr:col>6</xdr:col>
      <xdr:colOff>792299</xdr:colOff>
      <xdr:row>314</xdr:row>
      <xdr:rowOff>0</xdr:rowOff>
    </xdr:to>
    <xdr:sp macro="" textlink="">
      <xdr:nvSpPr>
        <xdr:cNvPr id="23" name="22 Cerrar corchete"/>
        <xdr:cNvSpPr/>
      </xdr:nvSpPr>
      <xdr:spPr>
        <a:xfrm>
          <a:off x="5657849" y="52397025"/>
          <a:ext cx="68400" cy="981075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123825</xdr:colOff>
      <xdr:row>299</xdr:row>
      <xdr:rowOff>0</xdr:rowOff>
    </xdr:from>
    <xdr:to>
      <xdr:col>1</xdr:col>
      <xdr:colOff>190500</xdr:colOff>
      <xdr:row>305</xdr:row>
      <xdr:rowOff>28575</xdr:rowOff>
    </xdr:to>
    <xdr:sp macro="" textlink="">
      <xdr:nvSpPr>
        <xdr:cNvPr id="24" name="23 Abrir corchete"/>
        <xdr:cNvSpPr/>
      </xdr:nvSpPr>
      <xdr:spPr>
        <a:xfrm>
          <a:off x="704850" y="50949225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590549</xdr:colOff>
      <xdr:row>299</xdr:row>
      <xdr:rowOff>0</xdr:rowOff>
    </xdr:from>
    <xdr:to>
      <xdr:col>6</xdr:col>
      <xdr:colOff>658949</xdr:colOff>
      <xdr:row>305</xdr:row>
      <xdr:rowOff>29250</xdr:rowOff>
    </xdr:to>
    <xdr:sp macro="" textlink="">
      <xdr:nvSpPr>
        <xdr:cNvPr id="25" name="24 Cerrar corchete"/>
        <xdr:cNvSpPr/>
      </xdr:nvSpPr>
      <xdr:spPr>
        <a:xfrm>
          <a:off x="5524499" y="50949225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270</xdr:row>
      <xdr:rowOff>0</xdr:rowOff>
    </xdr:from>
    <xdr:to>
      <xdr:col>1</xdr:col>
      <xdr:colOff>66675</xdr:colOff>
      <xdr:row>276</xdr:row>
      <xdr:rowOff>28575</xdr:rowOff>
    </xdr:to>
    <xdr:sp macro="" textlink="">
      <xdr:nvSpPr>
        <xdr:cNvPr id="26" name="25 Abrir corchete"/>
        <xdr:cNvSpPr/>
      </xdr:nvSpPr>
      <xdr:spPr>
        <a:xfrm>
          <a:off x="581025" y="46253400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781049</xdr:colOff>
      <xdr:row>270</xdr:row>
      <xdr:rowOff>0</xdr:rowOff>
    </xdr:from>
    <xdr:to>
      <xdr:col>2</xdr:col>
      <xdr:colOff>1724</xdr:colOff>
      <xdr:row>276</xdr:row>
      <xdr:rowOff>29250</xdr:rowOff>
    </xdr:to>
    <xdr:sp macro="" textlink="">
      <xdr:nvSpPr>
        <xdr:cNvPr id="27" name="26 Cerrar corchete"/>
        <xdr:cNvSpPr/>
      </xdr:nvSpPr>
      <xdr:spPr>
        <a:xfrm>
          <a:off x="1362074" y="46253400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6</xdr:row>
      <xdr:rowOff>19050</xdr:rowOff>
    </xdr:from>
    <xdr:to>
      <xdr:col>6</xdr:col>
      <xdr:colOff>71840</xdr:colOff>
      <xdr:row>30</xdr:row>
      <xdr:rowOff>142876</xdr:rowOff>
    </xdr:to>
    <xdr:pic>
      <xdr:nvPicPr>
        <xdr:cNvPr id="2" name="Picture 1" descr="planta de cim 19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190" t="4441" r="4785" b="3172"/>
        <a:stretch>
          <a:fillRect/>
        </a:stretch>
      </xdr:blipFill>
      <xdr:spPr bwMode="auto">
        <a:xfrm>
          <a:off x="304801" y="1123950"/>
          <a:ext cx="4767664" cy="401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219076</xdr:colOff>
      <xdr:row>58</xdr:row>
      <xdr:rowOff>152400</xdr:rowOff>
    </xdr:from>
    <xdr:to>
      <xdr:col>3</xdr:col>
      <xdr:colOff>485775</xdr:colOff>
      <xdr:row>60</xdr:row>
      <xdr:rowOff>66675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00101" y="10106025"/>
          <a:ext cx="2028824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2</xdr:col>
      <xdr:colOff>238125</xdr:colOff>
      <xdr:row>78</xdr:row>
      <xdr:rowOff>133348</xdr:rowOff>
    </xdr:from>
    <xdr:to>
      <xdr:col>4</xdr:col>
      <xdr:colOff>419100</xdr:colOff>
      <xdr:row>81</xdr:row>
      <xdr:rowOff>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666875" y="13573123"/>
          <a:ext cx="1876425" cy="40957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2</xdr:col>
      <xdr:colOff>123825</xdr:colOff>
      <xdr:row>89</xdr:row>
      <xdr:rowOff>114299</xdr:rowOff>
    </xdr:from>
    <xdr:to>
      <xdr:col>4</xdr:col>
      <xdr:colOff>419100</xdr:colOff>
      <xdr:row>92</xdr:row>
      <xdr:rowOff>47625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1552575" y="15478124"/>
          <a:ext cx="1990725" cy="47625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173935</xdr:colOff>
      <xdr:row>102</xdr:row>
      <xdr:rowOff>152400</xdr:rowOff>
    </xdr:from>
    <xdr:to>
      <xdr:col>5</xdr:col>
      <xdr:colOff>333375</xdr:colOff>
      <xdr:row>104</xdr:row>
      <xdr:rowOff>28575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2517085" y="17745075"/>
          <a:ext cx="178821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4</xdr:col>
      <xdr:colOff>209550</xdr:colOff>
      <xdr:row>111</xdr:row>
      <xdr:rowOff>142875</xdr:rowOff>
    </xdr:from>
    <xdr:to>
      <xdr:col>6</xdr:col>
      <xdr:colOff>571500</xdr:colOff>
      <xdr:row>113</xdr:row>
      <xdr:rowOff>19050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3333750" y="19307175"/>
          <a:ext cx="217170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161925</xdr:colOff>
      <xdr:row>119</xdr:row>
      <xdr:rowOff>123826</xdr:rowOff>
    </xdr:from>
    <xdr:to>
      <xdr:col>5</xdr:col>
      <xdr:colOff>571500</xdr:colOff>
      <xdr:row>122</xdr:row>
      <xdr:rowOff>38101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2505075" y="20659726"/>
          <a:ext cx="2038350" cy="45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161925</xdr:colOff>
      <xdr:row>130</xdr:row>
      <xdr:rowOff>152400</xdr:rowOff>
    </xdr:from>
    <xdr:to>
      <xdr:col>5</xdr:col>
      <xdr:colOff>571500</xdr:colOff>
      <xdr:row>133</xdr:row>
      <xdr:rowOff>38100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505075" y="22612350"/>
          <a:ext cx="2038350" cy="428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180975</xdr:colOff>
      <xdr:row>139</xdr:row>
      <xdr:rowOff>142875</xdr:rowOff>
    </xdr:from>
    <xdr:to>
      <xdr:col>3</xdr:col>
      <xdr:colOff>523875</xdr:colOff>
      <xdr:row>141</xdr:row>
      <xdr:rowOff>19050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762000" y="24164925"/>
          <a:ext cx="2105025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0</xdr:col>
      <xdr:colOff>277468</xdr:colOff>
      <xdr:row>172</xdr:row>
      <xdr:rowOff>60462</xdr:rowOff>
    </xdr:from>
    <xdr:to>
      <xdr:col>6</xdr:col>
      <xdr:colOff>344143</xdr:colOff>
      <xdr:row>189</xdr:row>
      <xdr:rowOff>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266700</xdr:colOff>
      <xdr:row>168</xdr:row>
      <xdr:rowOff>180974</xdr:rowOff>
    </xdr:from>
    <xdr:to>
      <xdr:col>5</xdr:col>
      <xdr:colOff>666750</xdr:colOff>
      <xdr:row>171</xdr:row>
      <xdr:rowOff>57149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3390900" y="29270324"/>
          <a:ext cx="12477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466724</xdr:colOff>
      <xdr:row>192</xdr:row>
      <xdr:rowOff>161925</xdr:rowOff>
    </xdr:from>
    <xdr:to>
      <xdr:col>4</xdr:col>
      <xdr:colOff>628649</xdr:colOff>
      <xdr:row>195</xdr:row>
      <xdr:rowOff>38100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2809874" y="33270825"/>
          <a:ext cx="9429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4</xdr:col>
      <xdr:colOff>228600</xdr:colOff>
      <xdr:row>205</xdr:row>
      <xdr:rowOff>171450</xdr:rowOff>
    </xdr:from>
    <xdr:to>
      <xdr:col>5</xdr:col>
      <xdr:colOff>628650</xdr:colOff>
      <xdr:row>208</xdr:row>
      <xdr:rowOff>47625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3352800" y="35709225"/>
          <a:ext cx="12477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0</xdr:col>
      <xdr:colOff>114300</xdr:colOff>
      <xdr:row>244</xdr:row>
      <xdr:rowOff>123826</xdr:rowOff>
    </xdr:from>
    <xdr:to>
      <xdr:col>6</xdr:col>
      <xdr:colOff>257587</xdr:colOff>
      <xdr:row>267</xdr:row>
      <xdr:rowOff>64191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561975</xdr:colOff>
      <xdr:row>329</xdr:row>
      <xdr:rowOff>19050</xdr:rowOff>
    </xdr:from>
    <xdr:to>
      <xdr:col>1</xdr:col>
      <xdr:colOff>47625</xdr:colOff>
      <xdr:row>335</xdr:row>
      <xdr:rowOff>28575</xdr:rowOff>
    </xdr:to>
    <xdr:sp macro="" textlink="">
      <xdr:nvSpPr>
        <xdr:cNvPr id="16" name="15 Abrir corchete"/>
        <xdr:cNvSpPr/>
      </xdr:nvSpPr>
      <xdr:spPr>
        <a:xfrm>
          <a:off x="561975" y="55826025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714374</xdr:colOff>
      <xdr:row>329</xdr:row>
      <xdr:rowOff>0</xdr:rowOff>
    </xdr:from>
    <xdr:to>
      <xdr:col>6</xdr:col>
      <xdr:colOff>782774</xdr:colOff>
      <xdr:row>335</xdr:row>
      <xdr:rowOff>10200</xdr:rowOff>
    </xdr:to>
    <xdr:sp macro="" textlink="">
      <xdr:nvSpPr>
        <xdr:cNvPr id="17" name="16 Cerrar corchete"/>
        <xdr:cNvSpPr/>
      </xdr:nvSpPr>
      <xdr:spPr>
        <a:xfrm>
          <a:off x="5648324" y="55806975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571500</xdr:colOff>
      <xdr:row>321</xdr:row>
      <xdr:rowOff>142875</xdr:rowOff>
    </xdr:from>
    <xdr:to>
      <xdr:col>1</xdr:col>
      <xdr:colOff>57150</xdr:colOff>
      <xdr:row>328</xdr:row>
      <xdr:rowOff>9525</xdr:rowOff>
    </xdr:to>
    <xdr:sp macro="" textlink="">
      <xdr:nvSpPr>
        <xdr:cNvPr id="18" name="17 Abrir corchete"/>
        <xdr:cNvSpPr/>
      </xdr:nvSpPr>
      <xdr:spPr>
        <a:xfrm>
          <a:off x="571500" y="54654450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723899</xdr:colOff>
      <xdr:row>321</xdr:row>
      <xdr:rowOff>142875</xdr:rowOff>
    </xdr:from>
    <xdr:to>
      <xdr:col>6</xdr:col>
      <xdr:colOff>792299</xdr:colOff>
      <xdr:row>328</xdr:row>
      <xdr:rowOff>10200</xdr:rowOff>
    </xdr:to>
    <xdr:sp macro="" textlink="">
      <xdr:nvSpPr>
        <xdr:cNvPr id="19" name="18 Cerrar corchete"/>
        <xdr:cNvSpPr/>
      </xdr:nvSpPr>
      <xdr:spPr>
        <a:xfrm>
          <a:off x="5657849" y="54654450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315</xdr:row>
      <xdr:rowOff>0</xdr:rowOff>
    </xdr:from>
    <xdr:to>
      <xdr:col>1</xdr:col>
      <xdr:colOff>66675</xdr:colOff>
      <xdr:row>321</xdr:row>
      <xdr:rowOff>0</xdr:rowOff>
    </xdr:to>
    <xdr:sp macro="" textlink="">
      <xdr:nvSpPr>
        <xdr:cNvPr id="20" name="19 Abrir corchete"/>
        <xdr:cNvSpPr/>
      </xdr:nvSpPr>
      <xdr:spPr>
        <a:xfrm>
          <a:off x="581025" y="53540025"/>
          <a:ext cx="66675" cy="971550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714374</xdr:colOff>
      <xdr:row>315</xdr:row>
      <xdr:rowOff>0</xdr:rowOff>
    </xdr:from>
    <xdr:to>
      <xdr:col>6</xdr:col>
      <xdr:colOff>782774</xdr:colOff>
      <xdr:row>321</xdr:row>
      <xdr:rowOff>0</xdr:rowOff>
    </xdr:to>
    <xdr:sp macro="" textlink="">
      <xdr:nvSpPr>
        <xdr:cNvPr id="21" name="20 Cerrar corchete"/>
        <xdr:cNvSpPr/>
      </xdr:nvSpPr>
      <xdr:spPr>
        <a:xfrm>
          <a:off x="5648324" y="53540025"/>
          <a:ext cx="68400" cy="97155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9525</xdr:colOff>
      <xdr:row>307</xdr:row>
      <xdr:rowOff>152400</xdr:rowOff>
    </xdr:from>
    <xdr:to>
      <xdr:col>1</xdr:col>
      <xdr:colOff>76200</xdr:colOff>
      <xdr:row>314</xdr:row>
      <xdr:rowOff>0</xdr:rowOff>
    </xdr:to>
    <xdr:sp macro="" textlink="">
      <xdr:nvSpPr>
        <xdr:cNvPr id="22" name="21 Abrir corchete"/>
        <xdr:cNvSpPr/>
      </xdr:nvSpPr>
      <xdr:spPr>
        <a:xfrm>
          <a:off x="590550" y="52397025"/>
          <a:ext cx="66675" cy="98107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723899</xdr:colOff>
      <xdr:row>307</xdr:row>
      <xdr:rowOff>152400</xdr:rowOff>
    </xdr:from>
    <xdr:to>
      <xdr:col>6</xdr:col>
      <xdr:colOff>792299</xdr:colOff>
      <xdr:row>314</xdr:row>
      <xdr:rowOff>0</xdr:rowOff>
    </xdr:to>
    <xdr:sp macro="" textlink="">
      <xdr:nvSpPr>
        <xdr:cNvPr id="23" name="22 Cerrar corchete"/>
        <xdr:cNvSpPr/>
      </xdr:nvSpPr>
      <xdr:spPr>
        <a:xfrm>
          <a:off x="5657849" y="52397025"/>
          <a:ext cx="68400" cy="981075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123825</xdr:colOff>
      <xdr:row>299</xdr:row>
      <xdr:rowOff>0</xdr:rowOff>
    </xdr:from>
    <xdr:to>
      <xdr:col>1</xdr:col>
      <xdr:colOff>190500</xdr:colOff>
      <xdr:row>305</xdr:row>
      <xdr:rowOff>28575</xdr:rowOff>
    </xdr:to>
    <xdr:sp macro="" textlink="">
      <xdr:nvSpPr>
        <xdr:cNvPr id="24" name="23 Abrir corchete"/>
        <xdr:cNvSpPr/>
      </xdr:nvSpPr>
      <xdr:spPr>
        <a:xfrm>
          <a:off x="704850" y="50949225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590549</xdr:colOff>
      <xdr:row>299</xdr:row>
      <xdr:rowOff>0</xdr:rowOff>
    </xdr:from>
    <xdr:to>
      <xdr:col>6</xdr:col>
      <xdr:colOff>658949</xdr:colOff>
      <xdr:row>305</xdr:row>
      <xdr:rowOff>29250</xdr:rowOff>
    </xdr:to>
    <xdr:sp macro="" textlink="">
      <xdr:nvSpPr>
        <xdr:cNvPr id="25" name="24 Cerrar corchete"/>
        <xdr:cNvSpPr/>
      </xdr:nvSpPr>
      <xdr:spPr>
        <a:xfrm>
          <a:off x="5524499" y="50949225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270</xdr:row>
      <xdr:rowOff>0</xdr:rowOff>
    </xdr:from>
    <xdr:to>
      <xdr:col>1</xdr:col>
      <xdr:colOff>66675</xdr:colOff>
      <xdr:row>276</xdr:row>
      <xdr:rowOff>28575</xdr:rowOff>
    </xdr:to>
    <xdr:sp macro="" textlink="">
      <xdr:nvSpPr>
        <xdr:cNvPr id="26" name="25 Abrir corchete"/>
        <xdr:cNvSpPr/>
      </xdr:nvSpPr>
      <xdr:spPr>
        <a:xfrm>
          <a:off x="581025" y="46253400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781049</xdr:colOff>
      <xdr:row>270</xdr:row>
      <xdr:rowOff>0</xdr:rowOff>
    </xdr:from>
    <xdr:to>
      <xdr:col>2</xdr:col>
      <xdr:colOff>1724</xdr:colOff>
      <xdr:row>276</xdr:row>
      <xdr:rowOff>29250</xdr:rowOff>
    </xdr:to>
    <xdr:sp macro="" textlink="">
      <xdr:nvSpPr>
        <xdr:cNvPr id="27" name="26 Cerrar corchete"/>
        <xdr:cNvSpPr/>
      </xdr:nvSpPr>
      <xdr:spPr>
        <a:xfrm>
          <a:off x="1362074" y="46253400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6</xdr:row>
      <xdr:rowOff>19050</xdr:rowOff>
    </xdr:from>
    <xdr:to>
      <xdr:col>6</xdr:col>
      <xdr:colOff>71840</xdr:colOff>
      <xdr:row>30</xdr:row>
      <xdr:rowOff>142876</xdr:rowOff>
    </xdr:to>
    <xdr:pic>
      <xdr:nvPicPr>
        <xdr:cNvPr id="2" name="Picture 1" descr="planta de cim 19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190" t="4441" r="4785" b="3172"/>
        <a:stretch>
          <a:fillRect/>
        </a:stretch>
      </xdr:blipFill>
      <xdr:spPr bwMode="auto">
        <a:xfrm>
          <a:off x="304801" y="1123950"/>
          <a:ext cx="4767664" cy="401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219076</xdr:colOff>
      <xdr:row>58</xdr:row>
      <xdr:rowOff>152400</xdr:rowOff>
    </xdr:from>
    <xdr:to>
      <xdr:col>3</xdr:col>
      <xdr:colOff>485775</xdr:colOff>
      <xdr:row>60</xdr:row>
      <xdr:rowOff>66675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00101" y="10106025"/>
          <a:ext cx="2028824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2</xdr:col>
      <xdr:colOff>238125</xdr:colOff>
      <xdr:row>78</xdr:row>
      <xdr:rowOff>133348</xdr:rowOff>
    </xdr:from>
    <xdr:to>
      <xdr:col>4</xdr:col>
      <xdr:colOff>419100</xdr:colOff>
      <xdr:row>81</xdr:row>
      <xdr:rowOff>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666875" y="13573123"/>
          <a:ext cx="1943100" cy="40957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2</xdr:col>
      <xdr:colOff>123825</xdr:colOff>
      <xdr:row>89</xdr:row>
      <xdr:rowOff>114299</xdr:rowOff>
    </xdr:from>
    <xdr:to>
      <xdr:col>4</xdr:col>
      <xdr:colOff>419100</xdr:colOff>
      <xdr:row>92</xdr:row>
      <xdr:rowOff>47625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1552575" y="15478124"/>
          <a:ext cx="2057400" cy="47625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173935</xdr:colOff>
      <xdr:row>102</xdr:row>
      <xdr:rowOff>152400</xdr:rowOff>
    </xdr:from>
    <xdr:to>
      <xdr:col>5</xdr:col>
      <xdr:colOff>333375</xdr:colOff>
      <xdr:row>104</xdr:row>
      <xdr:rowOff>28575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2517085" y="17745075"/>
          <a:ext cx="185489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4</xdr:col>
      <xdr:colOff>209550</xdr:colOff>
      <xdr:row>111</xdr:row>
      <xdr:rowOff>142875</xdr:rowOff>
    </xdr:from>
    <xdr:to>
      <xdr:col>6</xdr:col>
      <xdr:colOff>571500</xdr:colOff>
      <xdr:row>113</xdr:row>
      <xdr:rowOff>19050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3400425" y="19307175"/>
          <a:ext cx="217170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161925</xdr:colOff>
      <xdr:row>119</xdr:row>
      <xdr:rowOff>123826</xdr:rowOff>
    </xdr:from>
    <xdr:to>
      <xdr:col>5</xdr:col>
      <xdr:colOff>571500</xdr:colOff>
      <xdr:row>122</xdr:row>
      <xdr:rowOff>38101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2505075" y="20659726"/>
          <a:ext cx="2105025" cy="45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161925</xdr:colOff>
      <xdr:row>130</xdr:row>
      <xdr:rowOff>152400</xdr:rowOff>
    </xdr:from>
    <xdr:to>
      <xdr:col>5</xdr:col>
      <xdr:colOff>571500</xdr:colOff>
      <xdr:row>133</xdr:row>
      <xdr:rowOff>38100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505075" y="22612350"/>
          <a:ext cx="2105025" cy="428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180975</xdr:colOff>
      <xdr:row>139</xdr:row>
      <xdr:rowOff>142875</xdr:rowOff>
    </xdr:from>
    <xdr:to>
      <xdr:col>3</xdr:col>
      <xdr:colOff>523875</xdr:colOff>
      <xdr:row>141</xdr:row>
      <xdr:rowOff>19050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762000" y="24164925"/>
          <a:ext cx="2105025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0</xdr:col>
      <xdr:colOff>277468</xdr:colOff>
      <xdr:row>172</xdr:row>
      <xdr:rowOff>60462</xdr:rowOff>
    </xdr:from>
    <xdr:to>
      <xdr:col>6</xdr:col>
      <xdr:colOff>344143</xdr:colOff>
      <xdr:row>189</xdr:row>
      <xdr:rowOff>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266700</xdr:colOff>
      <xdr:row>168</xdr:row>
      <xdr:rowOff>180974</xdr:rowOff>
    </xdr:from>
    <xdr:to>
      <xdr:col>5</xdr:col>
      <xdr:colOff>666750</xdr:colOff>
      <xdr:row>171</xdr:row>
      <xdr:rowOff>57149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3457575" y="29270324"/>
          <a:ext cx="12477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466724</xdr:colOff>
      <xdr:row>192</xdr:row>
      <xdr:rowOff>161925</xdr:rowOff>
    </xdr:from>
    <xdr:to>
      <xdr:col>4</xdr:col>
      <xdr:colOff>628649</xdr:colOff>
      <xdr:row>195</xdr:row>
      <xdr:rowOff>38100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2809874" y="33270825"/>
          <a:ext cx="1009650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4</xdr:col>
      <xdr:colOff>228600</xdr:colOff>
      <xdr:row>205</xdr:row>
      <xdr:rowOff>171450</xdr:rowOff>
    </xdr:from>
    <xdr:to>
      <xdr:col>5</xdr:col>
      <xdr:colOff>628650</xdr:colOff>
      <xdr:row>208</xdr:row>
      <xdr:rowOff>47625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3419475" y="35709225"/>
          <a:ext cx="12477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0</xdr:col>
      <xdr:colOff>114300</xdr:colOff>
      <xdr:row>244</xdr:row>
      <xdr:rowOff>123826</xdr:rowOff>
    </xdr:from>
    <xdr:to>
      <xdr:col>6</xdr:col>
      <xdr:colOff>257587</xdr:colOff>
      <xdr:row>267</xdr:row>
      <xdr:rowOff>64191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561975</xdr:colOff>
      <xdr:row>329</xdr:row>
      <xdr:rowOff>19050</xdr:rowOff>
    </xdr:from>
    <xdr:to>
      <xdr:col>1</xdr:col>
      <xdr:colOff>47625</xdr:colOff>
      <xdr:row>335</xdr:row>
      <xdr:rowOff>28575</xdr:rowOff>
    </xdr:to>
    <xdr:sp macro="" textlink="">
      <xdr:nvSpPr>
        <xdr:cNvPr id="16" name="15 Abrir corchete"/>
        <xdr:cNvSpPr/>
      </xdr:nvSpPr>
      <xdr:spPr>
        <a:xfrm>
          <a:off x="561975" y="55826025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714374</xdr:colOff>
      <xdr:row>329</xdr:row>
      <xdr:rowOff>0</xdr:rowOff>
    </xdr:from>
    <xdr:to>
      <xdr:col>6</xdr:col>
      <xdr:colOff>782774</xdr:colOff>
      <xdr:row>335</xdr:row>
      <xdr:rowOff>10200</xdr:rowOff>
    </xdr:to>
    <xdr:sp macro="" textlink="">
      <xdr:nvSpPr>
        <xdr:cNvPr id="17" name="16 Cerrar corchete"/>
        <xdr:cNvSpPr/>
      </xdr:nvSpPr>
      <xdr:spPr>
        <a:xfrm>
          <a:off x="5714999" y="55806975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571500</xdr:colOff>
      <xdr:row>321</xdr:row>
      <xdr:rowOff>142875</xdr:rowOff>
    </xdr:from>
    <xdr:to>
      <xdr:col>1</xdr:col>
      <xdr:colOff>57150</xdr:colOff>
      <xdr:row>328</xdr:row>
      <xdr:rowOff>9525</xdr:rowOff>
    </xdr:to>
    <xdr:sp macro="" textlink="">
      <xdr:nvSpPr>
        <xdr:cNvPr id="18" name="17 Abrir corchete"/>
        <xdr:cNvSpPr/>
      </xdr:nvSpPr>
      <xdr:spPr>
        <a:xfrm>
          <a:off x="571500" y="54654450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723899</xdr:colOff>
      <xdr:row>321</xdr:row>
      <xdr:rowOff>142875</xdr:rowOff>
    </xdr:from>
    <xdr:to>
      <xdr:col>6</xdr:col>
      <xdr:colOff>792299</xdr:colOff>
      <xdr:row>328</xdr:row>
      <xdr:rowOff>10200</xdr:rowOff>
    </xdr:to>
    <xdr:sp macro="" textlink="">
      <xdr:nvSpPr>
        <xdr:cNvPr id="19" name="18 Cerrar corchete"/>
        <xdr:cNvSpPr/>
      </xdr:nvSpPr>
      <xdr:spPr>
        <a:xfrm>
          <a:off x="5724524" y="54654450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315</xdr:row>
      <xdr:rowOff>0</xdr:rowOff>
    </xdr:from>
    <xdr:to>
      <xdr:col>1</xdr:col>
      <xdr:colOff>66675</xdr:colOff>
      <xdr:row>321</xdr:row>
      <xdr:rowOff>0</xdr:rowOff>
    </xdr:to>
    <xdr:sp macro="" textlink="">
      <xdr:nvSpPr>
        <xdr:cNvPr id="20" name="19 Abrir corchete"/>
        <xdr:cNvSpPr/>
      </xdr:nvSpPr>
      <xdr:spPr>
        <a:xfrm>
          <a:off x="581025" y="53540025"/>
          <a:ext cx="66675" cy="971550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714374</xdr:colOff>
      <xdr:row>315</xdr:row>
      <xdr:rowOff>0</xdr:rowOff>
    </xdr:from>
    <xdr:to>
      <xdr:col>6</xdr:col>
      <xdr:colOff>782774</xdr:colOff>
      <xdr:row>321</xdr:row>
      <xdr:rowOff>0</xdr:rowOff>
    </xdr:to>
    <xdr:sp macro="" textlink="">
      <xdr:nvSpPr>
        <xdr:cNvPr id="21" name="20 Cerrar corchete"/>
        <xdr:cNvSpPr/>
      </xdr:nvSpPr>
      <xdr:spPr>
        <a:xfrm>
          <a:off x="5714999" y="53540025"/>
          <a:ext cx="68400" cy="97155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9525</xdr:colOff>
      <xdr:row>307</xdr:row>
      <xdr:rowOff>152400</xdr:rowOff>
    </xdr:from>
    <xdr:to>
      <xdr:col>1</xdr:col>
      <xdr:colOff>76200</xdr:colOff>
      <xdr:row>314</xdr:row>
      <xdr:rowOff>0</xdr:rowOff>
    </xdr:to>
    <xdr:sp macro="" textlink="">
      <xdr:nvSpPr>
        <xdr:cNvPr id="22" name="21 Abrir corchete"/>
        <xdr:cNvSpPr/>
      </xdr:nvSpPr>
      <xdr:spPr>
        <a:xfrm>
          <a:off x="590550" y="52397025"/>
          <a:ext cx="66675" cy="98107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723899</xdr:colOff>
      <xdr:row>307</xdr:row>
      <xdr:rowOff>152400</xdr:rowOff>
    </xdr:from>
    <xdr:to>
      <xdr:col>6</xdr:col>
      <xdr:colOff>792299</xdr:colOff>
      <xdr:row>314</xdr:row>
      <xdr:rowOff>0</xdr:rowOff>
    </xdr:to>
    <xdr:sp macro="" textlink="">
      <xdr:nvSpPr>
        <xdr:cNvPr id="23" name="22 Cerrar corchete"/>
        <xdr:cNvSpPr/>
      </xdr:nvSpPr>
      <xdr:spPr>
        <a:xfrm>
          <a:off x="5724524" y="52397025"/>
          <a:ext cx="68400" cy="981075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123825</xdr:colOff>
      <xdr:row>299</xdr:row>
      <xdr:rowOff>0</xdr:rowOff>
    </xdr:from>
    <xdr:to>
      <xdr:col>1</xdr:col>
      <xdr:colOff>190500</xdr:colOff>
      <xdr:row>305</xdr:row>
      <xdr:rowOff>28575</xdr:rowOff>
    </xdr:to>
    <xdr:sp macro="" textlink="">
      <xdr:nvSpPr>
        <xdr:cNvPr id="24" name="23 Abrir corchete"/>
        <xdr:cNvSpPr/>
      </xdr:nvSpPr>
      <xdr:spPr>
        <a:xfrm>
          <a:off x="704850" y="50949225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590549</xdr:colOff>
      <xdr:row>299</xdr:row>
      <xdr:rowOff>0</xdr:rowOff>
    </xdr:from>
    <xdr:to>
      <xdr:col>6</xdr:col>
      <xdr:colOff>658949</xdr:colOff>
      <xdr:row>305</xdr:row>
      <xdr:rowOff>29250</xdr:rowOff>
    </xdr:to>
    <xdr:sp macro="" textlink="">
      <xdr:nvSpPr>
        <xdr:cNvPr id="25" name="24 Cerrar corchete"/>
        <xdr:cNvSpPr/>
      </xdr:nvSpPr>
      <xdr:spPr>
        <a:xfrm>
          <a:off x="5591174" y="50949225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270</xdr:row>
      <xdr:rowOff>0</xdr:rowOff>
    </xdr:from>
    <xdr:to>
      <xdr:col>1</xdr:col>
      <xdr:colOff>66675</xdr:colOff>
      <xdr:row>276</xdr:row>
      <xdr:rowOff>28575</xdr:rowOff>
    </xdr:to>
    <xdr:sp macro="" textlink="">
      <xdr:nvSpPr>
        <xdr:cNvPr id="26" name="25 Abrir corchete"/>
        <xdr:cNvSpPr/>
      </xdr:nvSpPr>
      <xdr:spPr>
        <a:xfrm>
          <a:off x="581025" y="46253400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781049</xdr:colOff>
      <xdr:row>270</xdr:row>
      <xdr:rowOff>0</xdr:rowOff>
    </xdr:from>
    <xdr:to>
      <xdr:col>2</xdr:col>
      <xdr:colOff>1724</xdr:colOff>
      <xdr:row>276</xdr:row>
      <xdr:rowOff>29250</xdr:rowOff>
    </xdr:to>
    <xdr:sp macro="" textlink="">
      <xdr:nvSpPr>
        <xdr:cNvPr id="27" name="26 Cerrar corchete"/>
        <xdr:cNvSpPr/>
      </xdr:nvSpPr>
      <xdr:spPr>
        <a:xfrm>
          <a:off x="1362074" y="46253400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6</xdr:row>
      <xdr:rowOff>19050</xdr:rowOff>
    </xdr:from>
    <xdr:to>
      <xdr:col>6</xdr:col>
      <xdr:colOff>71840</xdr:colOff>
      <xdr:row>30</xdr:row>
      <xdr:rowOff>142876</xdr:rowOff>
    </xdr:to>
    <xdr:pic>
      <xdr:nvPicPr>
        <xdr:cNvPr id="2" name="Picture 1" descr="planta de cim 19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190" t="4441" r="4785" b="3172"/>
        <a:stretch>
          <a:fillRect/>
        </a:stretch>
      </xdr:blipFill>
      <xdr:spPr bwMode="auto">
        <a:xfrm>
          <a:off x="304801" y="1123950"/>
          <a:ext cx="4767664" cy="401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219076</xdr:colOff>
      <xdr:row>58</xdr:row>
      <xdr:rowOff>152400</xdr:rowOff>
    </xdr:from>
    <xdr:to>
      <xdr:col>3</xdr:col>
      <xdr:colOff>485775</xdr:colOff>
      <xdr:row>60</xdr:row>
      <xdr:rowOff>66675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00101" y="10106025"/>
          <a:ext cx="2028824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2</xdr:col>
      <xdr:colOff>238125</xdr:colOff>
      <xdr:row>78</xdr:row>
      <xdr:rowOff>133348</xdr:rowOff>
    </xdr:from>
    <xdr:to>
      <xdr:col>4</xdr:col>
      <xdr:colOff>419100</xdr:colOff>
      <xdr:row>81</xdr:row>
      <xdr:rowOff>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666875" y="13573123"/>
          <a:ext cx="1943100" cy="40957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2</xdr:col>
      <xdr:colOff>123825</xdr:colOff>
      <xdr:row>89</xdr:row>
      <xdr:rowOff>114299</xdr:rowOff>
    </xdr:from>
    <xdr:to>
      <xdr:col>4</xdr:col>
      <xdr:colOff>419100</xdr:colOff>
      <xdr:row>92</xdr:row>
      <xdr:rowOff>47625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1552575" y="15478124"/>
          <a:ext cx="2057400" cy="47625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173935</xdr:colOff>
      <xdr:row>102</xdr:row>
      <xdr:rowOff>152400</xdr:rowOff>
    </xdr:from>
    <xdr:to>
      <xdr:col>5</xdr:col>
      <xdr:colOff>333375</xdr:colOff>
      <xdr:row>104</xdr:row>
      <xdr:rowOff>28575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2517085" y="17745075"/>
          <a:ext cx="185489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4</xdr:col>
      <xdr:colOff>209550</xdr:colOff>
      <xdr:row>111</xdr:row>
      <xdr:rowOff>142875</xdr:rowOff>
    </xdr:from>
    <xdr:to>
      <xdr:col>6</xdr:col>
      <xdr:colOff>571500</xdr:colOff>
      <xdr:row>113</xdr:row>
      <xdr:rowOff>19050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3400425" y="19307175"/>
          <a:ext cx="217170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161925</xdr:colOff>
      <xdr:row>119</xdr:row>
      <xdr:rowOff>123826</xdr:rowOff>
    </xdr:from>
    <xdr:to>
      <xdr:col>5</xdr:col>
      <xdr:colOff>571500</xdr:colOff>
      <xdr:row>122</xdr:row>
      <xdr:rowOff>38101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2505075" y="20659726"/>
          <a:ext cx="2105025" cy="45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161925</xdr:colOff>
      <xdr:row>130</xdr:row>
      <xdr:rowOff>152400</xdr:rowOff>
    </xdr:from>
    <xdr:to>
      <xdr:col>5</xdr:col>
      <xdr:colOff>571500</xdr:colOff>
      <xdr:row>133</xdr:row>
      <xdr:rowOff>38100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505075" y="22612350"/>
          <a:ext cx="2105025" cy="428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180975</xdr:colOff>
      <xdr:row>139</xdr:row>
      <xdr:rowOff>142875</xdr:rowOff>
    </xdr:from>
    <xdr:to>
      <xdr:col>3</xdr:col>
      <xdr:colOff>523875</xdr:colOff>
      <xdr:row>141</xdr:row>
      <xdr:rowOff>19050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762000" y="24164925"/>
          <a:ext cx="2105025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0</xdr:col>
      <xdr:colOff>277468</xdr:colOff>
      <xdr:row>172</xdr:row>
      <xdr:rowOff>60462</xdr:rowOff>
    </xdr:from>
    <xdr:to>
      <xdr:col>6</xdr:col>
      <xdr:colOff>344143</xdr:colOff>
      <xdr:row>189</xdr:row>
      <xdr:rowOff>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266700</xdr:colOff>
      <xdr:row>168</xdr:row>
      <xdr:rowOff>180974</xdr:rowOff>
    </xdr:from>
    <xdr:to>
      <xdr:col>5</xdr:col>
      <xdr:colOff>666750</xdr:colOff>
      <xdr:row>171</xdr:row>
      <xdr:rowOff>57149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3457575" y="29270324"/>
          <a:ext cx="12477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466724</xdr:colOff>
      <xdr:row>192</xdr:row>
      <xdr:rowOff>161925</xdr:rowOff>
    </xdr:from>
    <xdr:to>
      <xdr:col>4</xdr:col>
      <xdr:colOff>628649</xdr:colOff>
      <xdr:row>195</xdr:row>
      <xdr:rowOff>38100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2809874" y="33270825"/>
          <a:ext cx="1009650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4</xdr:col>
      <xdr:colOff>228600</xdr:colOff>
      <xdr:row>205</xdr:row>
      <xdr:rowOff>171450</xdr:rowOff>
    </xdr:from>
    <xdr:to>
      <xdr:col>5</xdr:col>
      <xdr:colOff>628650</xdr:colOff>
      <xdr:row>208</xdr:row>
      <xdr:rowOff>47625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3419475" y="35709225"/>
          <a:ext cx="1247775" cy="447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0</xdr:col>
      <xdr:colOff>114300</xdr:colOff>
      <xdr:row>244</xdr:row>
      <xdr:rowOff>123826</xdr:rowOff>
    </xdr:from>
    <xdr:to>
      <xdr:col>6</xdr:col>
      <xdr:colOff>257587</xdr:colOff>
      <xdr:row>267</xdr:row>
      <xdr:rowOff>64191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561975</xdr:colOff>
      <xdr:row>329</xdr:row>
      <xdr:rowOff>19050</xdr:rowOff>
    </xdr:from>
    <xdr:to>
      <xdr:col>1</xdr:col>
      <xdr:colOff>47625</xdr:colOff>
      <xdr:row>335</xdr:row>
      <xdr:rowOff>28575</xdr:rowOff>
    </xdr:to>
    <xdr:sp macro="" textlink="">
      <xdr:nvSpPr>
        <xdr:cNvPr id="16" name="15 Abrir corchete"/>
        <xdr:cNvSpPr/>
      </xdr:nvSpPr>
      <xdr:spPr>
        <a:xfrm>
          <a:off x="561975" y="55826025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714374</xdr:colOff>
      <xdr:row>329</xdr:row>
      <xdr:rowOff>0</xdr:rowOff>
    </xdr:from>
    <xdr:to>
      <xdr:col>6</xdr:col>
      <xdr:colOff>782774</xdr:colOff>
      <xdr:row>335</xdr:row>
      <xdr:rowOff>10200</xdr:rowOff>
    </xdr:to>
    <xdr:sp macro="" textlink="">
      <xdr:nvSpPr>
        <xdr:cNvPr id="17" name="16 Cerrar corchete"/>
        <xdr:cNvSpPr/>
      </xdr:nvSpPr>
      <xdr:spPr>
        <a:xfrm>
          <a:off x="5714999" y="55806975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571500</xdr:colOff>
      <xdr:row>321</xdr:row>
      <xdr:rowOff>142875</xdr:rowOff>
    </xdr:from>
    <xdr:to>
      <xdr:col>1</xdr:col>
      <xdr:colOff>57150</xdr:colOff>
      <xdr:row>328</xdr:row>
      <xdr:rowOff>9525</xdr:rowOff>
    </xdr:to>
    <xdr:sp macro="" textlink="">
      <xdr:nvSpPr>
        <xdr:cNvPr id="18" name="17 Abrir corchete"/>
        <xdr:cNvSpPr/>
      </xdr:nvSpPr>
      <xdr:spPr>
        <a:xfrm>
          <a:off x="571500" y="54654450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723899</xdr:colOff>
      <xdr:row>321</xdr:row>
      <xdr:rowOff>142875</xdr:rowOff>
    </xdr:from>
    <xdr:to>
      <xdr:col>6</xdr:col>
      <xdr:colOff>792299</xdr:colOff>
      <xdr:row>328</xdr:row>
      <xdr:rowOff>10200</xdr:rowOff>
    </xdr:to>
    <xdr:sp macro="" textlink="">
      <xdr:nvSpPr>
        <xdr:cNvPr id="19" name="18 Cerrar corchete"/>
        <xdr:cNvSpPr/>
      </xdr:nvSpPr>
      <xdr:spPr>
        <a:xfrm>
          <a:off x="5724524" y="54654450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315</xdr:row>
      <xdr:rowOff>0</xdr:rowOff>
    </xdr:from>
    <xdr:to>
      <xdr:col>1</xdr:col>
      <xdr:colOff>66675</xdr:colOff>
      <xdr:row>321</xdr:row>
      <xdr:rowOff>0</xdr:rowOff>
    </xdr:to>
    <xdr:sp macro="" textlink="">
      <xdr:nvSpPr>
        <xdr:cNvPr id="20" name="19 Abrir corchete"/>
        <xdr:cNvSpPr/>
      </xdr:nvSpPr>
      <xdr:spPr>
        <a:xfrm>
          <a:off x="581025" y="53540025"/>
          <a:ext cx="66675" cy="971550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714374</xdr:colOff>
      <xdr:row>315</xdr:row>
      <xdr:rowOff>0</xdr:rowOff>
    </xdr:from>
    <xdr:to>
      <xdr:col>6</xdr:col>
      <xdr:colOff>782774</xdr:colOff>
      <xdr:row>321</xdr:row>
      <xdr:rowOff>0</xdr:rowOff>
    </xdr:to>
    <xdr:sp macro="" textlink="">
      <xdr:nvSpPr>
        <xdr:cNvPr id="21" name="20 Cerrar corchete"/>
        <xdr:cNvSpPr/>
      </xdr:nvSpPr>
      <xdr:spPr>
        <a:xfrm>
          <a:off x="5714999" y="53540025"/>
          <a:ext cx="68400" cy="97155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9525</xdr:colOff>
      <xdr:row>307</xdr:row>
      <xdr:rowOff>152400</xdr:rowOff>
    </xdr:from>
    <xdr:to>
      <xdr:col>1</xdr:col>
      <xdr:colOff>76200</xdr:colOff>
      <xdr:row>314</xdr:row>
      <xdr:rowOff>0</xdr:rowOff>
    </xdr:to>
    <xdr:sp macro="" textlink="">
      <xdr:nvSpPr>
        <xdr:cNvPr id="22" name="21 Abrir corchete"/>
        <xdr:cNvSpPr/>
      </xdr:nvSpPr>
      <xdr:spPr>
        <a:xfrm>
          <a:off x="590550" y="52397025"/>
          <a:ext cx="66675" cy="98107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723899</xdr:colOff>
      <xdr:row>307</xdr:row>
      <xdr:rowOff>152400</xdr:rowOff>
    </xdr:from>
    <xdr:to>
      <xdr:col>6</xdr:col>
      <xdr:colOff>792299</xdr:colOff>
      <xdr:row>314</xdr:row>
      <xdr:rowOff>0</xdr:rowOff>
    </xdr:to>
    <xdr:sp macro="" textlink="">
      <xdr:nvSpPr>
        <xdr:cNvPr id="23" name="22 Cerrar corchete"/>
        <xdr:cNvSpPr/>
      </xdr:nvSpPr>
      <xdr:spPr>
        <a:xfrm>
          <a:off x="5724524" y="52397025"/>
          <a:ext cx="68400" cy="981075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123825</xdr:colOff>
      <xdr:row>299</xdr:row>
      <xdr:rowOff>0</xdr:rowOff>
    </xdr:from>
    <xdr:to>
      <xdr:col>1</xdr:col>
      <xdr:colOff>190500</xdr:colOff>
      <xdr:row>305</xdr:row>
      <xdr:rowOff>28575</xdr:rowOff>
    </xdr:to>
    <xdr:sp macro="" textlink="">
      <xdr:nvSpPr>
        <xdr:cNvPr id="24" name="23 Abrir corchete"/>
        <xdr:cNvSpPr/>
      </xdr:nvSpPr>
      <xdr:spPr>
        <a:xfrm>
          <a:off x="704850" y="50949225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590549</xdr:colOff>
      <xdr:row>299</xdr:row>
      <xdr:rowOff>0</xdr:rowOff>
    </xdr:from>
    <xdr:to>
      <xdr:col>6</xdr:col>
      <xdr:colOff>658949</xdr:colOff>
      <xdr:row>305</xdr:row>
      <xdr:rowOff>29250</xdr:rowOff>
    </xdr:to>
    <xdr:sp macro="" textlink="">
      <xdr:nvSpPr>
        <xdr:cNvPr id="25" name="24 Cerrar corchete"/>
        <xdr:cNvSpPr/>
      </xdr:nvSpPr>
      <xdr:spPr>
        <a:xfrm>
          <a:off x="5591174" y="50949225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270</xdr:row>
      <xdr:rowOff>0</xdr:rowOff>
    </xdr:from>
    <xdr:to>
      <xdr:col>1</xdr:col>
      <xdr:colOff>66675</xdr:colOff>
      <xdr:row>276</xdr:row>
      <xdr:rowOff>28575</xdr:rowOff>
    </xdr:to>
    <xdr:sp macro="" textlink="">
      <xdr:nvSpPr>
        <xdr:cNvPr id="26" name="25 Abrir corchete"/>
        <xdr:cNvSpPr/>
      </xdr:nvSpPr>
      <xdr:spPr>
        <a:xfrm>
          <a:off x="581025" y="46253400"/>
          <a:ext cx="66675" cy="1000125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781049</xdr:colOff>
      <xdr:row>270</xdr:row>
      <xdr:rowOff>0</xdr:rowOff>
    </xdr:from>
    <xdr:to>
      <xdr:col>2</xdr:col>
      <xdr:colOff>1724</xdr:colOff>
      <xdr:row>276</xdr:row>
      <xdr:rowOff>29250</xdr:rowOff>
    </xdr:to>
    <xdr:sp macro="" textlink="">
      <xdr:nvSpPr>
        <xdr:cNvPr id="27" name="26 Cerrar corchete"/>
        <xdr:cNvSpPr/>
      </xdr:nvSpPr>
      <xdr:spPr>
        <a:xfrm>
          <a:off x="1362074" y="46253400"/>
          <a:ext cx="68400" cy="1000800"/>
        </a:xfrm>
        <a:prstGeom prst="righ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13</xdr:row>
      <xdr:rowOff>38100</xdr:rowOff>
    </xdr:from>
    <xdr:to>
      <xdr:col>6</xdr:col>
      <xdr:colOff>742950</xdr:colOff>
      <xdr:row>30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50"/>
  <sheetViews>
    <sheetView topLeftCell="A25" zoomScaleSheetLayoutView="100" workbookViewId="0">
      <selection activeCell="F46" sqref="F46"/>
    </sheetView>
  </sheetViews>
  <sheetFormatPr baseColWidth="10" defaultRowHeight="12.75"/>
  <cols>
    <col min="1" max="1" width="8.7109375" customWidth="1"/>
    <col min="2" max="2" width="12.7109375" customWidth="1"/>
    <col min="3" max="3" width="13.7109375" customWidth="1"/>
    <col min="4" max="4" width="11.7109375" customWidth="1"/>
    <col min="5" max="5" width="12.7109375" bestFit="1" customWidth="1"/>
    <col min="6" max="6" width="14.42578125" customWidth="1"/>
    <col min="7" max="7" width="12.42578125" customWidth="1"/>
    <col min="9" max="9" width="13" bestFit="1" customWidth="1"/>
  </cols>
  <sheetData>
    <row r="2" spans="1:7" ht="18" customHeight="1">
      <c r="A2" s="57" t="s">
        <v>0</v>
      </c>
      <c r="B2" s="58"/>
      <c r="C2" s="58"/>
      <c r="D2" s="58"/>
      <c r="E2" s="58"/>
      <c r="F2" s="58"/>
      <c r="G2" s="58"/>
    </row>
    <row r="3" spans="1:7" ht="18" customHeight="1">
      <c r="A3" s="58"/>
      <c r="B3" s="58"/>
      <c r="C3" s="58"/>
      <c r="D3" s="58"/>
      <c r="E3" s="58"/>
      <c r="F3" s="58"/>
      <c r="G3" s="58"/>
    </row>
    <row r="5" spans="1:7">
      <c r="A5" t="s">
        <v>1</v>
      </c>
    </row>
    <row r="33" spans="1:7" ht="13.5" thickBot="1">
      <c r="A33" s="21"/>
      <c r="B33" s="39" t="s">
        <v>106</v>
      </c>
      <c r="C33" s="21"/>
      <c r="D33" s="21"/>
      <c r="E33" s="21"/>
      <c r="F33" s="21"/>
      <c r="G33" s="21"/>
    </row>
    <row r="35" spans="1:7">
      <c r="A35" s="2" t="s">
        <v>2</v>
      </c>
      <c r="B35" s="40">
        <v>5.52</v>
      </c>
      <c r="C35" s="2" t="s">
        <v>3</v>
      </c>
      <c r="D35" s="40">
        <v>11.39</v>
      </c>
      <c r="E35" s="2" t="s">
        <v>17</v>
      </c>
      <c r="F35" s="40">
        <v>1.6</v>
      </c>
    </row>
    <row r="36" spans="1:7">
      <c r="A36" s="2" t="s">
        <v>33</v>
      </c>
      <c r="B36" s="40">
        <v>1.6</v>
      </c>
      <c r="C36" s="2" t="s">
        <v>20</v>
      </c>
      <c r="D36" s="36">
        <f>B35/2</f>
        <v>2.76</v>
      </c>
      <c r="E36" s="2" t="s">
        <v>21</v>
      </c>
      <c r="F36" s="36">
        <f>D35/2</f>
        <v>5.6950000000000003</v>
      </c>
    </row>
    <row r="37" spans="1:7">
      <c r="A37" s="2" t="s">
        <v>35</v>
      </c>
      <c r="B37" s="6">
        <f>B35/D35</f>
        <v>0.48463564530289721</v>
      </c>
      <c r="C37" s="2" t="s">
        <v>36</v>
      </c>
      <c r="D37" s="6">
        <f>F35/D36</f>
        <v>0.57971014492753636</v>
      </c>
      <c r="E37" s="16" t="s">
        <v>51</v>
      </c>
      <c r="F37" s="6">
        <f>B36/D36</f>
        <v>0.57971014492753636</v>
      </c>
    </row>
    <row r="38" spans="1:7">
      <c r="A38" s="2" t="s">
        <v>37</v>
      </c>
      <c r="B38" s="6">
        <f>F36/D36</f>
        <v>2.0634057971014497</v>
      </c>
      <c r="C38" s="16" t="s">
        <v>52</v>
      </c>
      <c r="D38" s="6">
        <f>B36/F36</f>
        <v>0.28094820017559263</v>
      </c>
      <c r="E38" s="14" t="s">
        <v>53</v>
      </c>
      <c r="F38" s="6">
        <f>F35/B36</f>
        <v>1</v>
      </c>
    </row>
    <row r="39" spans="1:7" ht="15.75">
      <c r="A39" s="2" t="s">
        <v>19</v>
      </c>
      <c r="B39" s="41">
        <f>B35*D35</f>
        <v>62.872799999999998</v>
      </c>
      <c r="C39" s="2" t="s">
        <v>18</v>
      </c>
      <c r="D39" s="41">
        <f>2*(D35+B35)*B36</f>
        <v>54.112000000000002</v>
      </c>
      <c r="E39" s="2" t="s">
        <v>27</v>
      </c>
      <c r="F39" s="6">
        <f>B39/(D35*D35)</f>
        <v>0.48463564530289727</v>
      </c>
    </row>
    <row r="40" spans="1:7" ht="15.75">
      <c r="A40" s="14" t="s">
        <v>45</v>
      </c>
      <c r="B40" s="6">
        <f>D35*POWER(B35,3)/12</f>
        <v>159.64661375999998</v>
      </c>
      <c r="C40" s="13" t="s">
        <v>47</v>
      </c>
      <c r="D40" s="14" t="s">
        <v>46</v>
      </c>
      <c r="E40" s="6">
        <f>B35*POWER(D35,3)/12</f>
        <v>679.71836473999997</v>
      </c>
      <c r="F40" s="13" t="s">
        <v>47</v>
      </c>
    </row>
    <row r="41" spans="1:7" ht="15.75">
      <c r="A41" s="14" t="s">
        <v>98</v>
      </c>
      <c r="B41" s="6">
        <f>B40+E40</f>
        <v>839.36497850000001</v>
      </c>
      <c r="C41" s="13" t="s">
        <v>47</v>
      </c>
      <c r="D41" s="13" t="s">
        <v>227</v>
      </c>
      <c r="E41" s="36">
        <v>1.9</v>
      </c>
    </row>
    <row r="42" spans="1:7" ht="15.75">
      <c r="A42" s="16" t="s">
        <v>99</v>
      </c>
      <c r="B42" s="40">
        <v>14.5</v>
      </c>
      <c r="C42" s="5" t="s">
        <v>7</v>
      </c>
      <c r="D42" s="3">
        <v>0.25</v>
      </c>
      <c r="E42" s="2" t="s">
        <v>8</v>
      </c>
      <c r="F42" s="3">
        <v>690</v>
      </c>
      <c r="G42" t="s">
        <v>9</v>
      </c>
    </row>
    <row r="43" spans="1:7" ht="14.25">
      <c r="A43" s="5" t="s">
        <v>12</v>
      </c>
      <c r="B43" s="3">
        <v>1.94</v>
      </c>
      <c r="C43" t="s">
        <v>13</v>
      </c>
      <c r="D43" s="5" t="s">
        <v>10</v>
      </c>
      <c r="E43" s="7">
        <f>B43/9.81</f>
        <v>0.19775739041794085</v>
      </c>
      <c r="F43" t="s">
        <v>14</v>
      </c>
    </row>
    <row r="44" spans="1:7">
      <c r="A44" s="5" t="s">
        <v>107</v>
      </c>
      <c r="B44" s="24">
        <v>0.03</v>
      </c>
      <c r="C44" s="13"/>
      <c r="D44" s="2" t="s">
        <v>6</v>
      </c>
      <c r="E44" s="1">
        <f>E43*F42*F42</f>
        <v>94152.293577981633</v>
      </c>
      <c r="F44" t="s">
        <v>11</v>
      </c>
    </row>
    <row r="45" spans="1:7">
      <c r="A45" t="s">
        <v>263</v>
      </c>
      <c r="D45" s="3">
        <v>14.83</v>
      </c>
      <c r="E45" t="s">
        <v>24</v>
      </c>
    </row>
    <row r="46" spans="1:7" ht="15.75">
      <c r="A46" s="2" t="s">
        <v>97</v>
      </c>
      <c r="B46" s="4">
        <f>F42/(4*B42)</f>
        <v>11.896551724137931</v>
      </c>
      <c r="C46" s="13" t="s">
        <v>24</v>
      </c>
      <c r="E46" s="13"/>
      <c r="F46" s="2" t="s">
        <v>272</v>
      </c>
      <c r="G46" s="7">
        <f>B47*D36/F42</f>
        <v>0.372718552421893</v>
      </c>
    </row>
    <row r="47" spans="1:7">
      <c r="A47" s="5" t="s">
        <v>22</v>
      </c>
      <c r="B47" s="6">
        <f>2*PI()*D45</f>
        <v>93.179638105473259</v>
      </c>
      <c r="C47" s="13" t="s">
        <v>254</v>
      </c>
    </row>
    <row r="48" spans="1:7" ht="13.5" thickBot="1">
      <c r="A48" s="21"/>
      <c r="B48" s="21"/>
      <c r="C48" s="21"/>
      <c r="D48" s="21"/>
      <c r="E48" s="22"/>
      <c r="F48" s="23"/>
      <c r="G48" s="21"/>
    </row>
    <row r="49" spans="1:7" ht="15">
      <c r="A49" s="12" t="s">
        <v>42</v>
      </c>
      <c r="B49" s="6"/>
      <c r="D49" s="2"/>
      <c r="E49" s="1"/>
    </row>
    <row r="50" spans="1:7">
      <c r="A50" s="10" t="s">
        <v>4</v>
      </c>
      <c r="B50" s="6"/>
      <c r="D50" s="2"/>
      <c r="E50" s="1"/>
    </row>
    <row r="51" spans="1:7" ht="15.75">
      <c r="A51" s="2" t="s">
        <v>5</v>
      </c>
      <c r="B51" s="6">
        <f>IF(F39&lt;0.02,0.8,0.73+1.54*POWER(F39,0.75))</f>
        <v>1.6245038951814859</v>
      </c>
    </row>
    <row r="52" spans="1:7" ht="14.25">
      <c r="A52" s="8" t="s">
        <v>40</v>
      </c>
      <c r="B52" s="9">
        <f>D35*E44*B51/(1-D42)</f>
        <v>2322812.3248283002</v>
      </c>
      <c r="C52" s="10" t="s">
        <v>15</v>
      </c>
      <c r="D52" t="s">
        <v>16</v>
      </c>
    </row>
    <row r="53" spans="1:7" ht="14.25">
      <c r="A53" s="8" t="s">
        <v>25</v>
      </c>
      <c r="B53" s="9">
        <f>B52*(1+(F35/(21*D36))*(1+4*B39/(12*F36*F36))*(1+0.19*POWER((D39/B39),2/3)))</f>
        <v>2446514.8207322638</v>
      </c>
      <c r="C53" s="10" t="s">
        <v>15</v>
      </c>
      <c r="D53" t="s">
        <v>34</v>
      </c>
    </row>
    <row r="54" spans="1:7" ht="14.25">
      <c r="A54" s="8" t="s">
        <v>141</v>
      </c>
      <c r="B54" s="31">
        <f>B52*(1+(F35/(21*D36))*(1+4*B39/(12*F36*F36)))</f>
        <v>2428368.4101683288</v>
      </c>
      <c r="C54" s="13" t="s">
        <v>15</v>
      </c>
      <c r="D54" s="10"/>
    </row>
    <row r="55" spans="1:7" ht="14.25">
      <c r="A55" s="8" t="s">
        <v>133</v>
      </c>
      <c r="B55" s="31">
        <f>B53-B54</f>
        <v>18146.41056393506</v>
      </c>
      <c r="C55" s="13" t="s">
        <v>15</v>
      </c>
    </row>
    <row r="56" spans="1:7" ht="14.25">
      <c r="A56" s="8" t="s">
        <v>134</v>
      </c>
      <c r="B56" s="1">
        <f>B55/D39</f>
        <v>335.34910119631616</v>
      </c>
      <c r="C56" s="13" t="s">
        <v>135</v>
      </c>
    </row>
    <row r="57" spans="1:7" ht="14.25">
      <c r="A57" s="11" t="s">
        <v>41</v>
      </c>
      <c r="B57" s="10"/>
      <c r="C57" s="10"/>
      <c r="E57" s="8" t="s">
        <v>40</v>
      </c>
      <c r="F57" s="9">
        <f>B58*B52</f>
        <v>2253127.9550834512</v>
      </c>
      <c r="G57" s="10" t="s">
        <v>15</v>
      </c>
    </row>
    <row r="58" spans="1:7" ht="14.25">
      <c r="A58" s="8" t="s">
        <v>40</v>
      </c>
      <c r="B58" s="3">
        <v>0.97</v>
      </c>
      <c r="E58" s="8" t="s">
        <v>25</v>
      </c>
      <c r="F58" s="9">
        <f>B52*(1-0.09*POWER((F35/D36),0.75)*POWER(G46,2))</f>
        <v>2303518.1225173562</v>
      </c>
      <c r="G58" s="10" t="s">
        <v>15</v>
      </c>
    </row>
    <row r="59" spans="1:7">
      <c r="E59" s="8"/>
      <c r="F59" s="9"/>
      <c r="G59" s="10"/>
    </row>
    <row r="60" spans="1:7" ht="15">
      <c r="B60" s="26" t="s">
        <v>108</v>
      </c>
      <c r="C60" s="27">
        <f>F58-B47*B113*B44</f>
        <v>2248271.482941288</v>
      </c>
      <c r="D60" s="25" t="s">
        <v>15</v>
      </c>
      <c r="E60" s="8"/>
      <c r="F60" s="9"/>
      <c r="G60" s="10"/>
    </row>
    <row r="61" spans="1:7" s="15" customFormat="1" ht="13.5" thickBot="1"/>
    <row r="62" spans="1:7">
      <c r="B62" s="10" t="s">
        <v>28</v>
      </c>
    </row>
    <row r="63" spans="1:7" ht="15.75">
      <c r="B63" s="2" t="s">
        <v>26</v>
      </c>
      <c r="C63" s="6">
        <f>IF(F39&lt;0.16,2.24,4.5*POWER(F39,0.38))</f>
        <v>3.4171996102899405</v>
      </c>
      <c r="E63" s="8" t="s">
        <v>29</v>
      </c>
      <c r="F63" s="9">
        <f>D35*E44*C63/(2-D42)</f>
        <v>2094049.4232618397</v>
      </c>
      <c r="G63" s="10" t="s">
        <v>15</v>
      </c>
    </row>
    <row r="64" spans="1:7" ht="14.25">
      <c r="B64" s="8" t="s">
        <v>143</v>
      </c>
      <c r="C64" s="31">
        <f>F65-F64</f>
        <v>907300.97159981122</v>
      </c>
      <c r="D64" s="10" t="s">
        <v>15</v>
      </c>
      <c r="E64" s="8" t="s">
        <v>142</v>
      </c>
      <c r="F64" s="31">
        <f>F63*(1+0.15*SQRT(D37))</f>
        <v>2333206.7206097106</v>
      </c>
      <c r="G64" s="10" t="s">
        <v>15</v>
      </c>
    </row>
    <row r="65" spans="1:7" ht="14.25">
      <c r="B65" s="8"/>
      <c r="C65" s="31"/>
      <c r="D65" s="10"/>
      <c r="E65" s="8" t="s">
        <v>32</v>
      </c>
      <c r="F65" s="28">
        <f>F63*(1+0.15*SQRT(D37))*(1+0.52*POWER((F35-0.5*B36)*D39/(D36*POWER(F36,2)),0.4))</f>
        <v>3240507.6922095218</v>
      </c>
      <c r="G65" s="10" t="s">
        <v>15</v>
      </c>
    </row>
    <row r="66" spans="1:7">
      <c r="B66" s="10" t="s">
        <v>30</v>
      </c>
    </row>
    <row r="67" spans="1:7" ht="14.25">
      <c r="E67" s="8" t="s">
        <v>31</v>
      </c>
      <c r="F67" s="9">
        <f>F63-(0.21*F36*E44*(1-B37)/(0.75-D42))</f>
        <v>1977987.8909682618</v>
      </c>
      <c r="G67" s="10" t="s">
        <v>15</v>
      </c>
    </row>
    <row r="68" spans="1:7" ht="14.25">
      <c r="B68" s="8" t="s">
        <v>144</v>
      </c>
      <c r="C68" s="31">
        <f>F69-F68</f>
        <v>857014.31654498493</v>
      </c>
      <c r="D68" s="10" t="s">
        <v>15</v>
      </c>
      <c r="E68" s="8" t="s">
        <v>145</v>
      </c>
      <c r="F68" s="31">
        <f>F67*(1+0.15*SQRT(D37))</f>
        <v>2203890.0272482778</v>
      </c>
      <c r="G68" s="10" t="s">
        <v>15</v>
      </c>
    </row>
    <row r="69" spans="1:7" ht="14.25">
      <c r="B69" s="8"/>
      <c r="C69" s="31"/>
      <c r="D69" s="10"/>
      <c r="E69" s="8" t="s">
        <v>38</v>
      </c>
      <c r="F69" s="28">
        <f>F67*(1+0.15*SQRT(D37))*(1+0.52*POWER((F35-0.5*B36)*D39/(D36*POWER(F36,2)),0.4))</f>
        <v>3060904.3437932627</v>
      </c>
      <c r="G69" s="10" t="s">
        <v>15</v>
      </c>
    </row>
    <row r="71" spans="1:7">
      <c r="A71" s="13" t="s">
        <v>208</v>
      </c>
    </row>
    <row r="72" spans="1:7">
      <c r="A72" s="13" t="s">
        <v>209</v>
      </c>
    </row>
    <row r="73" spans="1:7" ht="14.25">
      <c r="B73" s="8" t="s">
        <v>31</v>
      </c>
      <c r="C73" s="3">
        <v>1.02</v>
      </c>
      <c r="D73" s="8" t="s">
        <v>38</v>
      </c>
      <c r="E73" s="3">
        <v>1</v>
      </c>
    </row>
    <row r="74" spans="1:7" ht="14.25">
      <c r="B74" s="8" t="s">
        <v>29</v>
      </c>
      <c r="C74" s="3">
        <v>1.05</v>
      </c>
      <c r="D74" s="8" t="s">
        <v>32</v>
      </c>
      <c r="E74" s="3">
        <v>1</v>
      </c>
    </row>
    <row r="75" spans="1:7">
      <c r="B75" s="10" t="s">
        <v>39</v>
      </c>
    </row>
    <row r="76" spans="1:7">
      <c r="G76" s="9"/>
    </row>
    <row r="77" spans="1:7" ht="14.25">
      <c r="B77" s="8" t="s">
        <v>31</v>
      </c>
      <c r="C77" s="9">
        <f>F67*C73</f>
        <v>2017547.648787627</v>
      </c>
      <c r="D77" s="10" t="s">
        <v>15</v>
      </c>
      <c r="E77" s="8" t="s">
        <v>38</v>
      </c>
      <c r="F77" s="9">
        <f>F69*E73</f>
        <v>3060904.3437932627</v>
      </c>
      <c r="G77" s="10" t="s">
        <v>15</v>
      </c>
    </row>
    <row r="78" spans="1:7" ht="14.25">
      <c r="B78" s="8" t="s">
        <v>29</v>
      </c>
      <c r="C78" s="9">
        <f>F63*C74</f>
        <v>2198751.8944249316</v>
      </c>
      <c r="D78" s="10" t="s">
        <v>15</v>
      </c>
      <c r="E78" s="8" t="s">
        <v>32</v>
      </c>
      <c r="F78" s="9">
        <f>F65*E74</f>
        <v>3240507.6922095218</v>
      </c>
      <c r="G78" s="10" t="s">
        <v>15</v>
      </c>
    </row>
    <row r="79" spans="1:7">
      <c r="B79" s="8"/>
      <c r="C79" s="9"/>
      <c r="D79" s="10"/>
      <c r="E79" s="8"/>
      <c r="F79" s="9"/>
      <c r="G79" s="10"/>
    </row>
    <row r="80" spans="1:7" ht="15">
      <c r="B80" s="8"/>
      <c r="C80" s="26" t="s">
        <v>110</v>
      </c>
      <c r="D80" s="27">
        <f>F77-B47*B121*B44</f>
        <v>3016414.7092254441</v>
      </c>
      <c r="E80" s="25" t="s">
        <v>15</v>
      </c>
      <c r="F80" s="9"/>
      <c r="G80" s="10"/>
    </row>
    <row r="81" spans="1:7" ht="15">
      <c r="B81" s="8"/>
      <c r="C81" s="26" t="s">
        <v>109</v>
      </c>
      <c r="D81" s="27">
        <f>F78-B47*B122*B44</f>
        <v>3184361.7961419928</v>
      </c>
      <c r="E81" s="25" t="s">
        <v>15</v>
      </c>
      <c r="F81" s="9"/>
      <c r="G81" s="10"/>
    </row>
    <row r="82" spans="1:7" ht="13.5" thickBot="1">
      <c r="A82" s="15"/>
      <c r="B82" s="15"/>
      <c r="C82" s="15"/>
      <c r="D82" s="15"/>
      <c r="E82" s="15"/>
      <c r="F82" s="15"/>
      <c r="G82" s="15"/>
    </row>
    <row r="83" spans="1:7">
      <c r="B83" s="10" t="s">
        <v>43</v>
      </c>
    </row>
    <row r="85" spans="1:7" ht="14.25">
      <c r="B85" s="8" t="s">
        <v>44</v>
      </c>
      <c r="C85" s="9">
        <f>(E44/(1-D42))*POWER(B40,0.75)*POWER(B38,0.25)*(2.4+0.5*B37)</f>
        <v>17855443.415100165</v>
      </c>
      <c r="D85" s="10" t="s">
        <v>15</v>
      </c>
      <c r="E85" s="8" t="s">
        <v>49</v>
      </c>
      <c r="F85" s="9">
        <f>C85*(1+1.26*F37*(1+F37*POWER(F38,0.2)*POWER(B37,0.5)))</f>
        <v>36161132.297625162</v>
      </c>
      <c r="G85" s="10" t="s">
        <v>15</v>
      </c>
    </row>
    <row r="86" spans="1:7" ht="14.25">
      <c r="B86" s="8" t="s">
        <v>48</v>
      </c>
      <c r="C86" s="9">
        <f>(3*E44/(1-D42))*POWER(E40,0.75)*POWER(B38,0.15)</f>
        <v>55888872.111432128</v>
      </c>
      <c r="D86" s="10" t="s">
        <v>15</v>
      </c>
      <c r="E86" s="8" t="s">
        <v>50</v>
      </c>
      <c r="F86" s="9">
        <f>C86*(1+0.92*POWER(D38,0.6)*(1.5+POWER(D38,1.9)*POWER(F38,0.6)))</f>
        <v>94046502.291651711</v>
      </c>
      <c r="G86" s="10" t="s">
        <v>15</v>
      </c>
    </row>
    <row r="87" spans="1:7">
      <c r="B87" s="13" t="s">
        <v>54</v>
      </c>
    </row>
    <row r="88" spans="1:7" ht="14.25">
      <c r="B88" s="8" t="s">
        <v>44</v>
      </c>
      <c r="C88" s="6">
        <f>1-0.2*G46</f>
        <v>0.92545628951562142</v>
      </c>
      <c r="E88" s="8" t="s">
        <v>111</v>
      </c>
      <c r="F88" s="28">
        <f>F85*C88</f>
        <v>33465547.320843682</v>
      </c>
      <c r="G88" s="10" t="s">
        <v>15</v>
      </c>
    </row>
    <row r="89" spans="1:7" ht="14.25">
      <c r="B89" s="8" t="s">
        <v>48</v>
      </c>
      <c r="C89" s="6">
        <f>1-0.3*G46</f>
        <v>0.88818443427343208</v>
      </c>
      <c r="E89" s="8" t="s">
        <v>50</v>
      </c>
      <c r="F89" s="28">
        <f>F86*C89</f>
        <v>83530639.433305711</v>
      </c>
      <c r="G89" s="10" t="s">
        <v>15</v>
      </c>
    </row>
    <row r="90" spans="1:7">
      <c r="B90" s="8"/>
      <c r="F90" s="28"/>
      <c r="G90" s="10"/>
    </row>
    <row r="91" spans="1:7" ht="15">
      <c r="B91" s="8"/>
      <c r="C91" s="26" t="s">
        <v>112</v>
      </c>
      <c r="D91" s="27">
        <f>F88-B47*B129*B44</f>
        <v>33343914.06910269</v>
      </c>
      <c r="E91" s="25" t="s">
        <v>15</v>
      </c>
      <c r="F91" s="28"/>
      <c r="G91" s="10"/>
    </row>
    <row r="92" spans="1:7" ht="15">
      <c r="B92" s="8"/>
      <c r="C92" s="26" t="s">
        <v>113</v>
      </c>
      <c r="D92" s="27">
        <f>F89-B47*B130*B44</f>
        <v>83125021.070220038</v>
      </c>
      <c r="E92" s="25" t="s">
        <v>15</v>
      </c>
      <c r="F92" s="28"/>
      <c r="G92" s="10"/>
    </row>
    <row r="93" spans="1:7" ht="13.5" thickBot="1">
      <c r="A93" s="15"/>
      <c r="B93" s="15"/>
      <c r="C93" s="15"/>
      <c r="D93" s="15"/>
      <c r="E93" s="15"/>
      <c r="F93" s="15"/>
      <c r="G93" s="15"/>
    </row>
    <row r="94" spans="1:7">
      <c r="B94" s="17" t="s">
        <v>55</v>
      </c>
    </row>
    <row r="96" spans="1:7" ht="14.25">
      <c r="A96" s="8" t="s">
        <v>56</v>
      </c>
      <c r="B96" s="9">
        <f>E44*POWER(B41,0.75)*(3.8+10.7*POWER((1-B37),10))</f>
        <v>56000377.856406718</v>
      </c>
      <c r="C96" s="10" t="s">
        <v>15</v>
      </c>
      <c r="E96" s="8" t="s">
        <v>57</v>
      </c>
      <c r="F96" s="9">
        <f>B96*(1+(1.3+1.32*B37)*POWER(D37,0.9))</f>
        <v>122500064.57428397</v>
      </c>
      <c r="G96" s="10" t="s">
        <v>15</v>
      </c>
    </row>
    <row r="98" spans="1:7">
      <c r="A98" s="13" t="s">
        <v>58</v>
      </c>
    </row>
    <row r="99" spans="1:7">
      <c r="A99" s="14" t="s">
        <v>59</v>
      </c>
      <c r="B99" s="6">
        <f>0.33-0.13*SQRT(B38-1)</f>
        <v>0.19594196043871709</v>
      </c>
    </row>
    <row r="100" spans="1:7" ht="14.25">
      <c r="A100" s="14" t="s">
        <v>60</v>
      </c>
      <c r="B100" s="6">
        <f>0.8/(1+0.33*(B38-1))</f>
        <v>0.59218731142132996</v>
      </c>
      <c r="C100" s="8" t="s">
        <v>61</v>
      </c>
      <c r="D100" s="6">
        <f>1-B99*POWER(G46,2)/(B100+POWER(G46,2))</f>
        <v>0.96276864292617936</v>
      </c>
      <c r="E100" s="14"/>
      <c r="F100" s="6"/>
    </row>
    <row r="101" spans="1:7">
      <c r="E101" s="14"/>
      <c r="F101" s="6"/>
    </row>
    <row r="102" spans="1:7" ht="14.25">
      <c r="B102" s="13" t="s">
        <v>62</v>
      </c>
      <c r="E102" s="8" t="s">
        <v>57</v>
      </c>
      <c r="F102" s="28">
        <f>D100*F96</f>
        <v>117939220.92855272</v>
      </c>
      <c r="G102" s="10" t="s">
        <v>15</v>
      </c>
    </row>
    <row r="103" spans="1:7">
      <c r="B103" s="13"/>
      <c r="E103" s="8"/>
      <c r="F103" s="28"/>
      <c r="G103" s="10"/>
    </row>
    <row r="104" spans="1:7" ht="15">
      <c r="D104" s="26" t="s">
        <v>114</v>
      </c>
      <c r="E104" s="27">
        <f>F102-B47*B138*B44</f>
        <v>117697272.82730708</v>
      </c>
      <c r="F104" s="25" t="s">
        <v>15</v>
      </c>
      <c r="G104" s="10"/>
    </row>
    <row r="105" spans="1:7" ht="13.5" thickBot="1">
      <c r="A105" s="15"/>
      <c r="B105" s="15"/>
      <c r="C105" s="15"/>
      <c r="D105" s="15"/>
      <c r="E105" s="15"/>
      <c r="F105" s="15"/>
      <c r="G105" s="15"/>
    </row>
    <row r="107" spans="1:7" ht="15.75" customHeight="1">
      <c r="A107" s="12" t="s">
        <v>63</v>
      </c>
    </row>
    <row r="108" spans="1:7">
      <c r="A108" s="10" t="s">
        <v>69</v>
      </c>
    </row>
    <row r="109" spans="1:7" ht="14.25">
      <c r="B109" s="8" t="s">
        <v>65</v>
      </c>
      <c r="C109" s="6">
        <f>3.4*F42/(PI()*(1-D42))</f>
        <v>995.67332398289727</v>
      </c>
      <c r="D109" s="13" t="s">
        <v>9</v>
      </c>
    </row>
    <row r="110" spans="1:7">
      <c r="A110" s="13" t="s">
        <v>66</v>
      </c>
      <c r="D110" s="18">
        <v>1</v>
      </c>
      <c r="F110" s="13"/>
    </row>
    <row r="111" spans="1:7" ht="14.25">
      <c r="B111" s="8" t="s">
        <v>64</v>
      </c>
      <c r="C111" s="9">
        <f>E43*C109*B39*D110</f>
        <v>12379.764866705103</v>
      </c>
      <c r="D111" t="s">
        <v>68</v>
      </c>
    </row>
    <row r="112" spans="1:7">
      <c r="A112" s="13" t="s">
        <v>77</v>
      </c>
    </row>
    <row r="113" spans="1:7" ht="15">
      <c r="A113" s="8" t="s">
        <v>67</v>
      </c>
      <c r="B113" s="9">
        <f>(F146*C111+E43*F42*D39*F145)*F147</f>
        <v>19763.48792480908</v>
      </c>
      <c r="C113" t="s">
        <v>68</v>
      </c>
      <c r="E113" s="26" t="s">
        <v>115</v>
      </c>
      <c r="F113" s="27">
        <f>B113+2*F58*B44/B47</f>
        <v>21246.763564864639</v>
      </c>
      <c r="G113" s="25" t="s">
        <v>68</v>
      </c>
    </row>
    <row r="114" spans="1:7" ht="13.5" thickBot="1">
      <c r="A114" s="15"/>
      <c r="B114" s="15"/>
      <c r="C114" s="15"/>
      <c r="D114" s="15"/>
      <c r="E114" s="15"/>
      <c r="F114" s="15"/>
      <c r="G114" s="15"/>
    </row>
    <row r="115" spans="1:7">
      <c r="A115" s="10" t="s">
        <v>70</v>
      </c>
    </row>
    <row r="117" spans="1:7" ht="14.25">
      <c r="A117" s="8" t="s">
        <v>71</v>
      </c>
      <c r="B117" s="9">
        <f>E43*F42*B39*G117</f>
        <v>7463.8665820183469</v>
      </c>
      <c r="C117" t="s">
        <v>68</v>
      </c>
      <c r="D117" s="13" t="s">
        <v>72</v>
      </c>
      <c r="G117" s="18">
        <v>0.87</v>
      </c>
    </row>
    <row r="118" spans="1:7" ht="14.25">
      <c r="A118" s="8" t="s">
        <v>73</v>
      </c>
      <c r="B118" s="9">
        <f>E43*F42*B39*G118</f>
        <v>8750.7401306421998</v>
      </c>
      <c r="C118" t="s">
        <v>68</v>
      </c>
      <c r="D118" s="13" t="s">
        <v>74</v>
      </c>
      <c r="G118" s="18">
        <v>1.02</v>
      </c>
    </row>
    <row r="119" spans="1:7">
      <c r="A119" s="13" t="s">
        <v>83</v>
      </c>
    </row>
    <row r="120" spans="1:7">
      <c r="A120" s="13"/>
    </row>
    <row r="121" spans="1:7" ht="15">
      <c r="A121" s="8" t="s">
        <v>75</v>
      </c>
      <c r="B121" s="9">
        <f>(G117+D37*POWER((B36/F35),0.2)*(1+C109*B37/F42))*E43*F42*B39*F145*F146*F147</f>
        <v>15915.363582423828</v>
      </c>
      <c r="C121" t="s">
        <v>68</v>
      </c>
      <c r="D121" s="26" t="s">
        <v>116</v>
      </c>
      <c r="E121" s="27">
        <f>B121+2*F77*B44/B47</f>
        <v>17886.333467708326</v>
      </c>
      <c r="F121" s="25" t="s">
        <v>68</v>
      </c>
    </row>
    <row r="122" spans="1:7" ht="15">
      <c r="A122" s="8" t="s">
        <v>76</v>
      </c>
      <c r="B122" s="9">
        <f>(G118+D37*POWER((B36/F35),0.35)*C109/F42+B37)*E43*F42*B39*F145*F146*F147</f>
        <v>20085.180700092307</v>
      </c>
      <c r="C122" t="s">
        <v>68</v>
      </c>
      <c r="D122" s="26" t="s">
        <v>117</v>
      </c>
      <c r="E122" s="27">
        <f>B122+2*F78*B44/B47</f>
        <v>22171.800325213502</v>
      </c>
      <c r="F122" s="25" t="s">
        <v>68</v>
      </c>
    </row>
    <row r="123" spans="1:7" ht="13.5" thickBot="1">
      <c r="A123" s="15"/>
      <c r="B123" s="15"/>
      <c r="C123" s="15"/>
      <c r="D123" s="15"/>
      <c r="E123" s="15"/>
      <c r="F123" s="15"/>
      <c r="G123" s="15"/>
    </row>
    <row r="124" spans="1:7">
      <c r="B124" s="17" t="s">
        <v>78</v>
      </c>
    </row>
    <row r="126" spans="1:7" ht="14.25">
      <c r="A126" s="8" t="s">
        <v>81</v>
      </c>
      <c r="B126" s="9">
        <f>E43*C109*B40*G126</f>
        <v>4086.5108634398875</v>
      </c>
      <c r="C126" t="s">
        <v>68</v>
      </c>
      <c r="D126" s="13" t="s">
        <v>80</v>
      </c>
      <c r="G126" s="18">
        <v>0.13</v>
      </c>
    </row>
    <row r="127" spans="1:7" ht="14.25">
      <c r="A127" s="8" t="s">
        <v>82</v>
      </c>
      <c r="B127" s="9">
        <f>E43*C109*E40*G127</f>
        <v>33459.435284664025</v>
      </c>
      <c r="C127" t="s">
        <v>68</v>
      </c>
      <c r="D127" s="13" t="s">
        <v>79</v>
      </c>
      <c r="G127" s="18">
        <v>0.25</v>
      </c>
    </row>
    <row r="128" spans="1:7">
      <c r="A128" s="13" t="s">
        <v>83</v>
      </c>
    </row>
    <row r="129" spans="1:7" ht="14.25">
      <c r="A129" s="8" t="s">
        <v>84</v>
      </c>
      <c r="B129" s="9">
        <f>E43*C109*B40*E129*E130*F145*F146*F147</f>
        <v>43512.099930141507</v>
      </c>
      <c r="C129" t="s">
        <v>68</v>
      </c>
      <c r="D129" s="8" t="s">
        <v>86</v>
      </c>
      <c r="E129" s="6">
        <f>G126+(0.25+0.65*POWER((G46*POWER((B36/F35),-G46)*POWER(D37,-0.5)),0.5))</f>
        <v>0.83477976911886631</v>
      </c>
      <c r="F129" s="8" t="s">
        <v>88</v>
      </c>
      <c r="G129" s="6">
        <f>G127+0.25+(0.65*POWER((G46*POWER((B36/F35),-G46)*POWER(D37,-0.5)*POWER(B38,0.5)),0.5))</f>
        <v>1.0450637482841085</v>
      </c>
    </row>
    <row r="130" spans="1:7" ht="14.25">
      <c r="A130" s="8" t="s">
        <v>85</v>
      </c>
      <c r="B130" s="9">
        <f>E43*C109*E40*G129*G130*F145*F146*F147</f>
        <v>145102.64664852445</v>
      </c>
      <c r="C130" t="s">
        <v>68</v>
      </c>
      <c r="D130" s="8" t="s">
        <v>87</v>
      </c>
      <c r="E130" s="6">
        <f>POWER(F37,3)+2.77*(1-D42)*F37+0.92*(1-D42)*(D38+POWER(B36,3)/(F36*D36*D36))</f>
        <v>1.6581691173687783</v>
      </c>
      <c r="F130" s="8" t="s">
        <v>89</v>
      </c>
      <c r="G130" s="6">
        <f>POWER(D38,3)+2.77*(1-D42)*D38+0.92*(1-D42)*(F37+POWER(B36,3)/(D36*F36*F36))</f>
        <v>1.0374184151015677</v>
      </c>
    </row>
    <row r="131" spans="1:7">
      <c r="B131" s="8"/>
      <c r="C131" s="9"/>
    </row>
    <row r="132" spans="1:7" ht="15">
      <c r="B132" s="8"/>
      <c r="C132" s="9"/>
      <c r="D132" s="26" t="s">
        <v>118</v>
      </c>
      <c r="E132" s="27">
        <f>B129+2*F88*B44/B47</f>
        <v>65061.151633666821</v>
      </c>
      <c r="F132" s="25" t="s">
        <v>68</v>
      </c>
    </row>
    <row r="133" spans="1:7" ht="15">
      <c r="B133" s="8"/>
      <c r="C133" s="9"/>
      <c r="D133" s="26" t="s">
        <v>119</v>
      </c>
      <c r="E133" s="27">
        <f>B130+2*F89*B44/B47</f>
        <v>198889.48750666634</v>
      </c>
      <c r="F133" s="25" t="s">
        <v>68</v>
      </c>
      <c r="G133" s="27"/>
    </row>
    <row r="134" spans="1:7" ht="13.5" thickBot="1">
      <c r="A134" s="15"/>
      <c r="B134" s="15"/>
      <c r="C134" s="15"/>
      <c r="D134" s="15"/>
      <c r="E134" s="15"/>
      <c r="F134" s="15"/>
      <c r="G134" s="15"/>
    </row>
    <row r="135" spans="1:7">
      <c r="A135" s="17" t="s">
        <v>90</v>
      </c>
    </row>
    <row r="137" spans="1:7" ht="14.25">
      <c r="A137" s="8" t="s">
        <v>92</v>
      </c>
      <c r="B137" s="9">
        <f>E43*F42*B41*G137</f>
        <v>22906.706630379202</v>
      </c>
      <c r="C137" t="s">
        <v>68</v>
      </c>
      <c r="D137" s="13" t="s">
        <v>91</v>
      </c>
      <c r="G137" s="18">
        <v>0.2</v>
      </c>
    </row>
    <row r="138" spans="1:7" ht="14.25">
      <c r="A138" s="8" t="s">
        <v>93</v>
      </c>
      <c r="B138" s="9">
        <f>(E43*F42*B41*(G137+(G138*F37*(3/F139+D139*POWER(B38,2)/F139+3*F36/(D36*F139))+D139*D36/(F36*F139))))*F145*F146*F147</f>
        <v>86552.565261729236</v>
      </c>
      <c r="C138" t="s">
        <v>68</v>
      </c>
      <c r="D138" s="13" t="s">
        <v>94</v>
      </c>
      <c r="G138" s="18">
        <v>0.25</v>
      </c>
    </row>
    <row r="139" spans="1:7">
      <c r="C139" s="14" t="s">
        <v>95</v>
      </c>
      <c r="D139" s="6">
        <f>3.4/(PI()*(1-D42))</f>
        <v>1.4430048173665178</v>
      </c>
      <c r="E139" s="14" t="s">
        <v>96</v>
      </c>
      <c r="F139" s="6">
        <f>1+POWER(B38,2)</f>
        <v>5.2576434835118686</v>
      </c>
    </row>
    <row r="140" spans="1:7" ht="14.25">
      <c r="E140" s="14" t="s">
        <v>146</v>
      </c>
      <c r="F140" s="6">
        <f>G46*POWER(B38,0.6)*POWER(F37,0.1)</f>
        <v>0.5450707642706204</v>
      </c>
      <c r="G140" s="6"/>
    </row>
    <row r="141" spans="1:7" ht="15">
      <c r="B141" s="26" t="s">
        <v>120</v>
      </c>
      <c r="C141" s="27">
        <f>B138+2*F102*B44/B47</f>
        <v>162495.69403524083</v>
      </c>
      <c r="D141" s="25" t="s">
        <v>68</v>
      </c>
    </row>
    <row r="142" spans="1:7" ht="13.5" thickBot="1">
      <c r="A142" s="15"/>
      <c r="B142" s="15"/>
      <c r="C142" s="15"/>
      <c r="D142" s="15"/>
      <c r="E142" s="15"/>
      <c r="F142" s="15"/>
      <c r="G142" s="15"/>
    </row>
    <row r="143" spans="1:7">
      <c r="A143" s="10" t="s">
        <v>100</v>
      </c>
    </row>
    <row r="145" spans="1:7">
      <c r="A145" s="13" t="s">
        <v>140</v>
      </c>
      <c r="E145" s="13" t="s">
        <v>103</v>
      </c>
      <c r="F145" s="18">
        <v>1</v>
      </c>
    </row>
    <row r="146" spans="1:7">
      <c r="A146" s="13" t="s">
        <v>104</v>
      </c>
      <c r="E146" s="13" t="s">
        <v>105</v>
      </c>
      <c r="F146" s="18">
        <v>1</v>
      </c>
    </row>
    <row r="147" spans="1:7">
      <c r="A147" s="13" t="s">
        <v>102</v>
      </c>
      <c r="E147" s="13" t="s">
        <v>101</v>
      </c>
      <c r="F147" s="20">
        <f>IF(D45&lt;B46,0,1)</f>
        <v>1</v>
      </c>
    </row>
    <row r="148" spans="1:7" ht="13.5" thickBot="1">
      <c r="A148" s="15"/>
      <c r="B148" s="15"/>
      <c r="C148" s="15"/>
      <c r="D148" s="15"/>
      <c r="E148" s="15"/>
      <c r="F148" s="15"/>
      <c r="G148" s="15"/>
    </row>
    <row r="150" spans="1:7">
      <c r="A150" s="10" t="s">
        <v>131</v>
      </c>
    </row>
    <row r="152" spans="1:7">
      <c r="A152" s="13" t="s">
        <v>121</v>
      </c>
    </row>
    <row r="154" spans="1:7">
      <c r="A154" s="29" t="s">
        <v>122</v>
      </c>
      <c r="B154" s="29" t="s">
        <v>123</v>
      </c>
      <c r="C154" s="29" t="s">
        <v>124</v>
      </c>
    </row>
    <row r="155" spans="1:7" ht="15.75">
      <c r="B155" s="29" t="s">
        <v>125</v>
      </c>
      <c r="C155" s="29" t="s">
        <v>125</v>
      </c>
      <c r="D155" s="14" t="s">
        <v>130</v>
      </c>
      <c r="E155" s="32">
        <f>(B158+B156)/2</f>
        <v>5.6950000000000003</v>
      </c>
      <c r="F155" s="14" t="s">
        <v>132</v>
      </c>
      <c r="G155" s="32">
        <f>(C158+C156)/2</f>
        <v>2.76</v>
      </c>
    </row>
    <row r="156" spans="1:7" ht="15.75">
      <c r="A156" s="19">
        <v>1</v>
      </c>
      <c r="B156" s="19">
        <v>0</v>
      </c>
      <c r="C156" s="19">
        <v>0</v>
      </c>
      <c r="D156" s="14" t="s">
        <v>126</v>
      </c>
      <c r="E156" s="32">
        <f>(B156+B157)/2</f>
        <v>0</v>
      </c>
      <c r="F156" s="14" t="s">
        <v>150</v>
      </c>
      <c r="G156" s="33">
        <f>(C156+C157)/2</f>
        <v>2.76</v>
      </c>
    </row>
    <row r="157" spans="1:7" ht="15.75">
      <c r="A157" s="19">
        <v>2</v>
      </c>
      <c r="B157" s="19">
        <v>0</v>
      </c>
      <c r="C157" s="19">
        <f>B35</f>
        <v>5.52</v>
      </c>
      <c r="D157" s="14" t="s">
        <v>127</v>
      </c>
      <c r="E157" s="32">
        <f>(B157+B158)/2</f>
        <v>5.6950000000000003</v>
      </c>
      <c r="F157" s="14" t="s">
        <v>151</v>
      </c>
      <c r="G157" s="32">
        <f>(C157+C158)/2</f>
        <v>5.52</v>
      </c>
    </row>
    <row r="158" spans="1:7" ht="15.75">
      <c r="A158" s="19">
        <v>3</v>
      </c>
      <c r="B158" s="19">
        <f>D35</f>
        <v>11.39</v>
      </c>
      <c r="C158" s="19">
        <f>C157</f>
        <v>5.52</v>
      </c>
      <c r="D158" s="14" t="s">
        <v>128</v>
      </c>
      <c r="E158" s="32">
        <f>(B158+B159)/2</f>
        <v>11.39</v>
      </c>
      <c r="F158" s="14" t="s">
        <v>152</v>
      </c>
      <c r="G158" s="32">
        <f>(C158+C159)/2</f>
        <v>2.76</v>
      </c>
    </row>
    <row r="159" spans="1:7" ht="15.75">
      <c r="A159" s="19">
        <v>4</v>
      </c>
      <c r="B159" s="19">
        <f>B158</f>
        <v>11.39</v>
      </c>
      <c r="C159" s="19">
        <v>0</v>
      </c>
      <c r="D159" s="14" t="s">
        <v>129</v>
      </c>
      <c r="E159" s="32">
        <f>(B159+B156)/2</f>
        <v>5.6950000000000003</v>
      </c>
      <c r="F159" s="14" t="s">
        <v>153</v>
      </c>
      <c r="G159" s="32">
        <f>(C159+C160)/2</f>
        <v>0</v>
      </c>
    </row>
    <row r="160" spans="1:7">
      <c r="A160" s="19">
        <f>A156</f>
        <v>1</v>
      </c>
      <c r="B160" s="19">
        <f>B156</f>
        <v>0</v>
      </c>
      <c r="C160" s="19">
        <f>C156</f>
        <v>0</v>
      </c>
    </row>
    <row r="162" spans="1:6">
      <c r="A162" s="13" t="s">
        <v>136</v>
      </c>
    </row>
    <row r="163" spans="1:6" ht="15">
      <c r="A163" s="8" t="s">
        <v>137</v>
      </c>
      <c r="B163" s="30">
        <f>(C157-C156)*B36</f>
        <v>8.831999999999999</v>
      </c>
    </row>
    <row r="164" spans="1:6" ht="15">
      <c r="A164" s="8" t="s">
        <v>138</v>
      </c>
      <c r="B164" s="30">
        <f>(B158-B157)*B36</f>
        <v>18.224</v>
      </c>
    </row>
    <row r="165" spans="1:6" ht="15">
      <c r="A165" s="8" t="s">
        <v>139</v>
      </c>
      <c r="B165" s="30">
        <f>(C158-C159)*B36</f>
        <v>8.831999999999999</v>
      </c>
    </row>
    <row r="166" spans="1:6" ht="15">
      <c r="A166" s="8" t="s">
        <v>164</v>
      </c>
      <c r="B166" s="30">
        <f>(B159-B160)*B36</f>
        <v>18.224</v>
      </c>
      <c r="C166" t="str">
        <f>IF(SUM(B163:B166)=D39,"…ok","Checar datos")</f>
        <v>…ok</v>
      </c>
    </row>
    <row r="168" spans="1:6">
      <c r="A168" s="11" t="s">
        <v>154</v>
      </c>
    </row>
    <row r="169" spans="1:6" ht="15">
      <c r="B169" s="8" t="s">
        <v>147</v>
      </c>
      <c r="C169" s="34">
        <f>B163*B56</f>
        <v>2961.8032617658641</v>
      </c>
    </row>
    <row r="170" spans="1:6" ht="15">
      <c r="B170" s="8" t="s">
        <v>155</v>
      </c>
      <c r="C170" s="34">
        <f>B164*B56</f>
        <v>6111.4020202016654</v>
      </c>
      <c r="E170" s="8" t="s">
        <v>148</v>
      </c>
      <c r="F170" s="32">
        <f>(C169*E156+C170*E157+C171*E158+C172*E159+B54*E155)/B53</f>
        <v>5.6950000000000003</v>
      </c>
    </row>
    <row r="171" spans="1:6" ht="15">
      <c r="B171" s="8" t="s">
        <v>156</v>
      </c>
      <c r="C171" s="34">
        <f>B165*B56</f>
        <v>2961.8032617658641</v>
      </c>
      <c r="E171" s="8" t="s">
        <v>149</v>
      </c>
      <c r="F171" s="32">
        <f>(C169*G156+C170*G157+C171*G158+C172*G159+B54*G155)/B53</f>
        <v>2.76</v>
      </c>
    </row>
    <row r="172" spans="1:6" ht="15">
      <c r="B172" s="8" t="s">
        <v>157</v>
      </c>
      <c r="C172" s="34">
        <f>B166*B56</f>
        <v>6111.4020202016654</v>
      </c>
      <c r="D172" t="str">
        <f>IF(SUM(C169:C172)=B55,"…ok","Checa los datos")</f>
        <v>…ok</v>
      </c>
    </row>
    <row r="191" spans="1:3">
      <c r="A191" s="11" t="s">
        <v>158</v>
      </c>
    </row>
    <row r="192" spans="1:3" ht="14.25">
      <c r="A192" s="8" t="s">
        <v>163</v>
      </c>
      <c r="B192" s="1">
        <f>C64/D39</f>
        <v>16767.093650203489</v>
      </c>
      <c r="C192" s="13" t="s">
        <v>135</v>
      </c>
    </row>
    <row r="193" spans="1:6" ht="15">
      <c r="A193" s="8" t="s">
        <v>159</v>
      </c>
      <c r="B193" s="1">
        <f>B192*B163</f>
        <v>148086.9711185972</v>
      </c>
      <c r="C193" s="13" t="s">
        <v>135</v>
      </c>
    </row>
    <row r="194" spans="1:6" ht="15">
      <c r="A194" s="8" t="s">
        <v>160</v>
      </c>
      <c r="B194" s="1">
        <f>B192*B164</f>
        <v>305563.51468130841</v>
      </c>
      <c r="C194" s="13" t="s">
        <v>135</v>
      </c>
      <c r="D194" s="8" t="s">
        <v>165</v>
      </c>
      <c r="E194" s="32">
        <f>(B193*G156+B194*G157+B195*G158+B196*G159+F64*G155)/F65</f>
        <v>2.7600000000000002</v>
      </c>
    </row>
    <row r="195" spans="1:6" ht="15">
      <c r="A195" s="8" t="s">
        <v>161</v>
      </c>
      <c r="B195" s="1">
        <f>B192*B165</f>
        <v>148086.9711185972</v>
      </c>
      <c r="C195" s="13" t="s">
        <v>135</v>
      </c>
      <c r="D195" s="8" t="s">
        <v>175</v>
      </c>
      <c r="E195" s="32">
        <f>(B193*E199+B194*E200+B195*E201+B196*E202+F64*C198)/F65</f>
        <v>-0.8</v>
      </c>
    </row>
    <row r="196" spans="1:6" ht="15">
      <c r="A196" s="8" t="s">
        <v>162</v>
      </c>
      <c r="B196" s="1">
        <f>B192*B166</f>
        <v>305563.51468130841</v>
      </c>
      <c r="C196" s="13" t="s">
        <v>135</v>
      </c>
      <c r="D196" t="str">
        <f>IF(SUM(B193:B196)=C64,"…ok","Checa los datos")</f>
        <v>…ok</v>
      </c>
    </row>
    <row r="198" spans="1:6" ht="15.75">
      <c r="B198" s="14" t="s">
        <v>166</v>
      </c>
      <c r="C198" s="32">
        <f>-B36/2</f>
        <v>-0.8</v>
      </c>
    </row>
    <row r="199" spans="1:6" ht="15.75">
      <c r="B199" s="14" t="s">
        <v>171</v>
      </c>
      <c r="C199" s="35">
        <v>0</v>
      </c>
      <c r="D199" s="14" t="s">
        <v>167</v>
      </c>
      <c r="E199" s="32">
        <f>(C199-$B$36)/2</f>
        <v>-0.8</v>
      </c>
    </row>
    <row r="200" spans="1:6" ht="15.75">
      <c r="B200" s="14" t="s">
        <v>172</v>
      </c>
      <c r="C200" s="35">
        <v>0</v>
      </c>
      <c r="D200" s="14" t="s">
        <v>168</v>
      </c>
      <c r="E200" s="32">
        <f>(C200-$B$36)/2</f>
        <v>-0.8</v>
      </c>
    </row>
    <row r="201" spans="1:6" ht="15.75">
      <c r="B201" s="14" t="s">
        <v>173</v>
      </c>
      <c r="C201" s="35">
        <v>0</v>
      </c>
      <c r="D201" s="14" t="s">
        <v>169</v>
      </c>
      <c r="E201" s="32">
        <f>(C201-$B$36)/2</f>
        <v>-0.8</v>
      </c>
    </row>
    <row r="202" spans="1:6" ht="15.75">
      <c r="B202" s="14" t="s">
        <v>174</v>
      </c>
      <c r="C202" s="35">
        <v>0</v>
      </c>
      <c r="D202" s="14" t="s">
        <v>170</v>
      </c>
      <c r="E202" s="32">
        <f>(C202-$B$36)/2</f>
        <v>-0.8</v>
      </c>
    </row>
    <row r="203" spans="1:6">
      <c r="E203" s="32"/>
    </row>
    <row r="204" spans="1:6">
      <c r="A204" s="11" t="s">
        <v>176</v>
      </c>
    </row>
    <row r="205" spans="1:6" ht="14.25">
      <c r="B205" s="8" t="s">
        <v>177</v>
      </c>
      <c r="C205" s="1">
        <f>C68/D39</f>
        <v>15837.786748687628</v>
      </c>
      <c r="D205" s="13" t="s">
        <v>135</v>
      </c>
    </row>
    <row r="206" spans="1:6" ht="15">
      <c r="B206" s="8" t="s">
        <v>178</v>
      </c>
      <c r="C206" s="1">
        <f>C205*B163</f>
        <v>139879.33256440912</v>
      </c>
      <c r="D206" s="13" t="s">
        <v>135</v>
      </c>
    </row>
    <row r="207" spans="1:6" ht="15">
      <c r="B207" s="8" t="s">
        <v>179</v>
      </c>
      <c r="C207" s="1">
        <f>C205*B164</f>
        <v>288627.82570808334</v>
      </c>
      <c r="D207" s="13" t="s">
        <v>135</v>
      </c>
      <c r="E207" s="8" t="s">
        <v>182</v>
      </c>
      <c r="F207" s="32">
        <f>(C206*E156+C207*E157+C208*E158+C209*E159+F68*E155)/F69</f>
        <v>5.6950000000000012</v>
      </c>
    </row>
    <row r="208" spans="1:6" ht="15">
      <c r="B208" s="8" t="s">
        <v>180</v>
      </c>
      <c r="C208" s="1">
        <f>C205*B165</f>
        <v>139879.33256440912</v>
      </c>
      <c r="D208" s="13" t="s">
        <v>135</v>
      </c>
      <c r="E208" s="8" t="s">
        <v>239</v>
      </c>
      <c r="F208" s="32">
        <f>(C206*E199+C207*E200+C208*E201+C209*E202+F68*C198)/F69</f>
        <v>-0.8</v>
      </c>
    </row>
    <row r="209" spans="1:6" ht="15">
      <c r="B209" s="8" t="s">
        <v>181</v>
      </c>
      <c r="C209" s="1">
        <f>C205*B166</f>
        <v>288627.82570808334</v>
      </c>
      <c r="D209" s="13" t="s">
        <v>135</v>
      </c>
      <c r="E209" t="str">
        <f>IF(SUM(C206:C209)=C68,"…ok","Checa los datos")</f>
        <v>…ok</v>
      </c>
    </row>
    <row r="211" spans="1:6">
      <c r="A211" t="s">
        <v>183</v>
      </c>
    </row>
    <row r="213" spans="1:6">
      <c r="A213" t="s">
        <v>184</v>
      </c>
    </row>
    <row r="214" spans="1:6">
      <c r="A214" t="s">
        <v>192</v>
      </c>
      <c r="B214" s="19" t="s">
        <v>191</v>
      </c>
      <c r="C214" s="19" t="s">
        <v>194</v>
      </c>
      <c r="D214" s="19" t="s">
        <v>195</v>
      </c>
    </row>
    <row r="215" spans="1:6">
      <c r="A215" t="s">
        <v>193</v>
      </c>
      <c r="B215" s="42">
        <v>2.36</v>
      </c>
      <c r="C215" s="42">
        <v>4.07</v>
      </c>
      <c r="D215" s="42">
        <v>2.44</v>
      </c>
    </row>
    <row r="216" spans="1:6">
      <c r="A216" t="s">
        <v>190</v>
      </c>
      <c r="B216" s="36">
        <f>B35</f>
        <v>5.52</v>
      </c>
      <c r="C216" s="42">
        <v>1.1200000000000001</v>
      </c>
      <c r="D216" s="42">
        <v>2.44</v>
      </c>
    </row>
    <row r="218" spans="1:6">
      <c r="A218" s="37" t="s">
        <v>185</v>
      </c>
      <c r="B218" s="37" t="s">
        <v>186</v>
      </c>
      <c r="C218" s="37" t="s">
        <v>123</v>
      </c>
      <c r="D218" s="37" t="s">
        <v>124</v>
      </c>
      <c r="E218" s="37" t="s">
        <v>187</v>
      </c>
      <c r="F218" s="37" t="s">
        <v>188</v>
      </c>
    </row>
    <row r="219" spans="1:6">
      <c r="A219" s="37" t="s">
        <v>189</v>
      </c>
      <c r="B219" s="4">
        <f>B39*E41</f>
        <v>119.45831999999999</v>
      </c>
      <c r="C219" s="36">
        <f>F170</f>
        <v>5.6950000000000003</v>
      </c>
      <c r="D219" s="36">
        <f>F171</f>
        <v>2.76</v>
      </c>
      <c r="E219" s="1">
        <f>B219*2.4*C219</f>
        <v>1632.7563177599998</v>
      </c>
      <c r="F219" s="1">
        <f>B219*2.4*D219</f>
        <v>791.29191167999977</v>
      </c>
    </row>
    <row r="220" spans="1:6">
      <c r="A220" s="10" t="s">
        <v>193</v>
      </c>
      <c r="B220" s="4">
        <f>B215*C215*D215</f>
        <v>23.436688</v>
      </c>
      <c r="C220" s="36">
        <f>C215/2</f>
        <v>2.0350000000000001</v>
      </c>
      <c r="D220" s="36">
        <f>D219</f>
        <v>2.76</v>
      </c>
      <c r="E220" s="1">
        <f>B220*2.4*C220</f>
        <v>114.46478419200001</v>
      </c>
      <c r="F220" s="1">
        <f>B220*2.4*D220</f>
        <v>155.24462131199999</v>
      </c>
    </row>
    <row r="221" spans="1:6">
      <c r="A221" s="10" t="s">
        <v>190</v>
      </c>
      <c r="B221" s="4">
        <f>B216*C216*D216</f>
        <v>15.085056</v>
      </c>
      <c r="C221" s="36">
        <f>E158-C216/2</f>
        <v>10.83</v>
      </c>
      <c r="D221" s="36">
        <f>D220</f>
        <v>2.76</v>
      </c>
      <c r="E221" s="1">
        <f>B221*2.4*C221</f>
        <v>392.09077555200003</v>
      </c>
      <c r="F221" s="1">
        <f>B221*2.4*D221</f>
        <v>99.923410943999997</v>
      </c>
    </row>
    <row r="222" spans="1:6">
      <c r="A222" s="10" t="s">
        <v>201</v>
      </c>
      <c r="B222" s="45">
        <v>15.5</v>
      </c>
      <c r="C222" s="36">
        <f>C220</f>
        <v>2.0350000000000001</v>
      </c>
      <c r="D222" s="36">
        <f>D220</f>
        <v>2.76</v>
      </c>
      <c r="E222" s="1">
        <f>B222*C222</f>
        <v>31.542500000000004</v>
      </c>
      <c r="F222" s="1">
        <f>B222*D222</f>
        <v>42.779999999999994</v>
      </c>
    </row>
    <row r="223" spans="1:6">
      <c r="A223" s="10" t="s">
        <v>200</v>
      </c>
      <c r="B223" s="45">
        <v>22</v>
      </c>
      <c r="C223" s="36">
        <f>C219</f>
        <v>5.6950000000000003</v>
      </c>
      <c r="D223" s="36">
        <f>D219</f>
        <v>2.76</v>
      </c>
      <c r="E223" s="1">
        <f>B223*C223</f>
        <v>125.29</v>
      </c>
      <c r="F223" s="1">
        <f>B223*D223</f>
        <v>60.72</v>
      </c>
    </row>
    <row r="224" spans="1:6">
      <c r="A224" s="10" t="s">
        <v>199</v>
      </c>
      <c r="B224" s="45">
        <v>21.25</v>
      </c>
      <c r="C224" s="36">
        <f>C223</f>
        <v>5.6950000000000003</v>
      </c>
      <c r="D224" s="36">
        <f>D223</f>
        <v>2.76</v>
      </c>
      <c r="E224" s="1">
        <f>B224*C224</f>
        <v>121.01875000000001</v>
      </c>
      <c r="F224" s="1">
        <f>B224*D224</f>
        <v>58.65</v>
      </c>
    </row>
    <row r="225" spans="1:6">
      <c r="A225" s="29" t="s">
        <v>196</v>
      </c>
      <c r="B225" s="4">
        <f>SUM(B219:B221)*2.4+SUM(B222:B224)</f>
        <v>437.90215359999996</v>
      </c>
      <c r="C225" s="19"/>
      <c r="D225" s="19"/>
      <c r="E225" s="1">
        <f>SUM(E219:E224)</f>
        <v>2417.1631275039999</v>
      </c>
      <c r="F225" s="1">
        <f>SUM(F219:F224)</f>
        <v>1208.6099439359998</v>
      </c>
    </row>
    <row r="227" spans="1:6">
      <c r="A227" s="10" t="s">
        <v>202</v>
      </c>
      <c r="D227" s="14" t="s">
        <v>197</v>
      </c>
      <c r="E227" s="36">
        <f>E225/B225</f>
        <v>5.5198703811627023</v>
      </c>
    </row>
    <row r="228" spans="1:6">
      <c r="D228" s="14" t="s">
        <v>198</v>
      </c>
      <c r="E228" s="36">
        <f>F225/B225</f>
        <v>2.76</v>
      </c>
    </row>
    <row r="230" spans="1:6">
      <c r="A230" s="13" t="s">
        <v>220</v>
      </c>
      <c r="C230" s="36">
        <f>E155-E227</f>
        <v>0.17512961883729794</v>
      </c>
    </row>
    <row r="231" spans="1:6">
      <c r="A231" s="13" t="s">
        <v>221</v>
      </c>
      <c r="C231" s="36">
        <f>G155-E228</f>
        <v>0</v>
      </c>
    </row>
    <row r="232" spans="1:6">
      <c r="A232" s="13" t="s">
        <v>206</v>
      </c>
      <c r="C232" s="14" t="s">
        <v>203</v>
      </c>
      <c r="D232" s="38">
        <f>B225*ABS(E228-G155)</f>
        <v>0</v>
      </c>
      <c r="E232" s="13" t="s">
        <v>205</v>
      </c>
    </row>
    <row r="233" spans="1:6">
      <c r="C233" s="14" t="s">
        <v>204</v>
      </c>
      <c r="D233" s="38">
        <f>B225*C230</f>
        <v>76.689637247999883</v>
      </c>
      <c r="E233" s="13" t="s">
        <v>205</v>
      </c>
    </row>
    <row r="234" spans="1:6">
      <c r="A234" s="13" t="s">
        <v>207</v>
      </c>
    </row>
    <row r="235" spans="1:6" ht="14.25">
      <c r="C235" s="8" t="s">
        <v>210</v>
      </c>
      <c r="D235" s="9">
        <f>(B225/B39)+D232*D36/B40</f>
        <v>6.9648902800575128</v>
      </c>
      <c r="E235" s="10" t="s">
        <v>11</v>
      </c>
    </row>
    <row r="236" spans="1:6" ht="14.25">
      <c r="C236" s="8" t="s">
        <v>211</v>
      </c>
      <c r="D236" s="9">
        <f>(B225/B39)+D233*F36/E40</f>
        <v>7.6074321132392901</v>
      </c>
      <c r="E236" s="10" t="s">
        <v>11</v>
      </c>
    </row>
    <row r="238" spans="1:6">
      <c r="A238" s="10" t="s">
        <v>212</v>
      </c>
    </row>
    <row r="240" spans="1:6" ht="15.75">
      <c r="A240" s="13" t="s">
        <v>216</v>
      </c>
      <c r="C240" s="14" t="s">
        <v>217</v>
      </c>
      <c r="D240">
        <f>C241*B242*POWER(B47,2)</f>
        <v>0.3613199469049877</v>
      </c>
    </row>
    <row r="241" spans="1:4">
      <c r="A241" s="13" t="s">
        <v>213</v>
      </c>
      <c r="B241" s="43">
        <v>1</v>
      </c>
      <c r="C241">
        <f>B241*28.7/1000/1000</f>
        <v>2.87E-5</v>
      </c>
      <c r="D241" s="13" t="s">
        <v>214</v>
      </c>
    </row>
    <row r="242" spans="1:4">
      <c r="A242" s="13" t="s">
        <v>215</v>
      </c>
      <c r="B242" s="42">
        <v>1.45</v>
      </c>
    </row>
    <row r="244" spans="1:4">
      <c r="A244" s="13" t="s">
        <v>218</v>
      </c>
    </row>
    <row r="246" spans="1:4">
      <c r="A246" s="29" t="s">
        <v>219</v>
      </c>
      <c r="B246" s="29" t="s">
        <v>255</v>
      </c>
      <c r="C246" s="29" t="s">
        <v>256</v>
      </c>
      <c r="D246" s="29" t="s">
        <v>259</v>
      </c>
    </row>
    <row r="247" spans="1:4">
      <c r="A247">
        <v>0</v>
      </c>
      <c r="B247" s="47">
        <f t="shared" ref="B247:B267" si="0">$D$240*COS(-$B$47*A247)</f>
        <v>0.3613199469049877</v>
      </c>
      <c r="C247" s="47">
        <f t="shared" ref="C247:C267" si="1">$D$240*SIN(-$B$47*A247)</f>
        <v>0</v>
      </c>
      <c r="D247" s="47">
        <f>SQRT(POWER(B247,2)+POWER(C247,2))</f>
        <v>0.3613199469049877</v>
      </c>
    </row>
    <row r="248" spans="1:4">
      <c r="A248">
        <v>1</v>
      </c>
      <c r="B248" s="47">
        <f t="shared" si="0"/>
        <v>0.17406721194771191</v>
      </c>
      <c r="C248" s="47">
        <f t="shared" si="1"/>
        <v>0.31662708310593629</v>
      </c>
      <c r="D248" s="47">
        <f t="shared" ref="D248:D267" si="2">SQRT(POWER(B248,2)+POWER(C248,2))</f>
        <v>0.3613199469049877</v>
      </c>
    </row>
    <row r="249" spans="1:4">
      <c r="A249">
        <v>2</v>
      </c>
      <c r="B249" s="47">
        <f t="shared" si="0"/>
        <v>-0.1936049091120858</v>
      </c>
      <c r="C249" s="47">
        <f t="shared" si="1"/>
        <v>0.30507252121278328</v>
      </c>
      <c r="D249" s="47">
        <f t="shared" si="2"/>
        <v>0.3613199469049877</v>
      </c>
    </row>
    <row r="250" spans="1:4">
      <c r="A250">
        <v>3</v>
      </c>
      <c r="B250" s="47">
        <f t="shared" si="0"/>
        <v>-0.36060696452546109</v>
      </c>
      <c r="C250" s="47">
        <f t="shared" si="1"/>
        <v>-2.2687467182477033E-2</v>
      </c>
      <c r="D250" s="47">
        <f t="shared" si="2"/>
        <v>0.3613199469049877</v>
      </c>
    </row>
    <row r="251" spans="1:4">
      <c r="A251">
        <v>4</v>
      </c>
      <c r="B251" s="47">
        <f t="shared" si="0"/>
        <v>-0.15384255102152453</v>
      </c>
      <c r="C251" s="47">
        <f t="shared" si="1"/>
        <v>-0.32693206255522378</v>
      </c>
      <c r="D251" s="47">
        <f t="shared" si="2"/>
        <v>0.3613199469049877</v>
      </c>
    </row>
    <row r="252" spans="1:4">
      <c r="A252">
        <v>5</v>
      </c>
      <c r="B252" s="47">
        <f t="shared" si="0"/>
        <v>0.21237853614986327</v>
      </c>
      <c r="C252" s="47">
        <f t="shared" si="1"/>
        <v>-0.29231397745277998</v>
      </c>
      <c r="D252" s="47">
        <f t="shared" si="2"/>
        <v>0.3613199469049877</v>
      </c>
    </row>
    <row r="253" spans="1:4">
      <c r="A253">
        <v>6</v>
      </c>
      <c r="B253" s="47">
        <f t="shared" si="0"/>
        <v>0.35847083120260265</v>
      </c>
      <c r="C253" s="47">
        <f t="shared" si="1"/>
        <v>4.5285397296902577E-2</v>
      </c>
      <c r="D253" s="47">
        <f t="shared" si="2"/>
        <v>0.3613199469049877</v>
      </c>
    </row>
    <row r="254" spans="1:4">
      <c r="A254">
        <v>7</v>
      </c>
      <c r="B254" s="47">
        <f t="shared" si="0"/>
        <v>0.13301074383043077</v>
      </c>
      <c r="C254" s="47">
        <f t="shared" si="1"/>
        <v>0.3359467905146567</v>
      </c>
      <c r="D254" s="47">
        <f t="shared" si="2"/>
        <v>0.3613199469049877</v>
      </c>
    </row>
    <row r="255" spans="1:4">
      <c r="A255">
        <v>8</v>
      </c>
      <c r="B255" s="47">
        <f t="shared" si="0"/>
        <v>-0.23031400213198036</v>
      </c>
      <c r="C255" s="47">
        <f t="shared" si="1"/>
        <v>0.27840180396932285</v>
      </c>
      <c r="D255" s="47">
        <f t="shared" si="2"/>
        <v>0.3613199469049877</v>
      </c>
    </row>
    <row r="256" spans="1:4">
      <c r="A256">
        <v>9</v>
      </c>
      <c r="B256" s="47">
        <f t="shared" si="0"/>
        <v>-0.35491997727873109</v>
      </c>
      <c r="C256" s="47">
        <f t="shared" si="1"/>
        <v>-6.7704606637127185E-2</v>
      </c>
      <c r="D256" s="47">
        <f t="shared" si="2"/>
        <v>0.3613199469049877</v>
      </c>
    </row>
    <row r="257" spans="1:7">
      <c r="A257">
        <v>10</v>
      </c>
      <c r="B257" s="47">
        <f t="shared" si="0"/>
        <v>-0.11165400400026654</v>
      </c>
      <c r="C257" s="47">
        <f t="shared" si="1"/>
        <v>-0.34363568997141669</v>
      </c>
      <c r="D257" s="47">
        <f t="shared" si="2"/>
        <v>0.3613199469049877</v>
      </c>
    </row>
    <row r="258" spans="1:7">
      <c r="A258">
        <v>11</v>
      </c>
      <c r="B258" s="47">
        <f t="shared" si="0"/>
        <v>0.24734052396814071</v>
      </c>
      <c r="C258" s="47">
        <f t="shared" si="1"/>
        <v>-0.26339090575528373</v>
      </c>
      <c r="D258" s="47">
        <f t="shared" si="2"/>
        <v>0.3613199469049877</v>
      </c>
    </row>
    <row r="259" spans="1:7">
      <c r="A259">
        <v>12</v>
      </c>
      <c r="B259" s="47">
        <f t="shared" si="0"/>
        <v>0.34996841635205328</v>
      </c>
      <c r="C259" s="47">
        <f t="shared" si="1"/>
        <v>8.9856616826247376E-2</v>
      </c>
      <c r="D259" s="47">
        <f t="shared" si="2"/>
        <v>0.36131994690498775</v>
      </c>
    </row>
    <row r="260" spans="1:7">
      <c r="A260">
        <v>13</v>
      </c>
      <c r="B260" s="47">
        <f t="shared" si="0"/>
        <v>8.985661682617517E-2</v>
      </c>
      <c r="C260" s="47">
        <f t="shared" si="1"/>
        <v>0.34996841635207182</v>
      </c>
      <c r="D260" s="47">
        <f t="shared" si="2"/>
        <v>0.36131994690498775</v>
      </c>
    </row>
    <row r="261" spans="1:7">
      <c r="A261">
        <v>14</v>
      </c>
      <c r="B261" s="47">
        <f t="shared" si="0"/>
        <v>-0.26339090575533475</v>
      </c>
      <c r="C261" s="47">
        <f t="shared" si="1"/>
        <v>0.24734052396808634</v>
      </c>
      <c r="D261" s="47">
        <f t="shared" si="2"/>
        <v>0.3613199469049877</v>
      </c>
    </row>
    <row r="262" spans="1:7">
      <c r="A262">
        <v>15</v>
      </c>
      <c r="B262" s="47">
        <f t="shared" si="0"/>
        <v>-0.34363568997139365</v>
      </c>
      <c r="C262" s="47">
        <f t="shared" si="1"/>
        <v>-0.11165400400033741</v>
      </c>
      <c r="D262" s="47">
        <f t="shared" si="2"/>
        <v>0.3613199469049877</v>
      </c>
    </row>
    <row r="263" spans="1:7">
      <c r="A263">
        <v>16</v>
      </c>
      <c r="B263" s="47">
        <f t="shared" si="0"/>
        <v>-6.7704606637053952E-2</v>
      </c>
      <c r="C263" s="47">
        <f t="shared" si="1"/>
        <v>-0.35491997727874508</v>
      </c>
      <c r="D263" s="47">
        <f t="shared" si="2"/>
        <v>0.3613199469049877</v>
      </c>
    </row>
    <row r="264" spans="1:7">
      <c r="A264">
        <v>17</v>
      </c>
      <c r="B264" s="47">
        <f t="shared" si="0"/>
        <v>0.27840180396937036</v>
      </c>
      <c r="C264" s="47">
        <f t="shared" si="1"/>
        <v>-0.23031400213192293</v>
      </c>
      <c r="D264" s="47">
        <f t="shared" si="2"/>
        <v>0.3613199469049877</v>
      </c>
    </row>
    <row r="265" spans="1:7">
      <c r="A265">
        <v>18</v>
      </c>
      <c r="B265" s="47">
        <f t="shared" si="0"/>
        <v>0.33594679051462928</v>
      </c>
      <c r="C265" s="47">
        <f t="shared" si="1"/>
        <v>0.1330107438305001</v>
      </c>
      <c r="D265" s="47">
        <f t="shared" si="2"/>
        <v>0.3613199469049877</v>
      </c>
    </row>
    <row r="266" spans="1:7">
      <c r="A266">
        <v>19</v>
      </c>
      <c r="B266" s="47">
        <f t="shared" si="0"/>
        <v>4.5285397296828629E-2</v>
      </c>
      <c r="C266" s="47">
        <f t="shared" si="1"/>
        <v>0.35847083120261197</v>
      </c>
      <c r="D266" s="47">
        <f t="shared" si="2"/>
        <v>0.3613199469049877</v>
      </c>
    </row>
    <row r="267" spans="1:7">
      <c r="A267">
        <v>20</v>
      </c>
      <c r="B267" s="47">
        <f t="shared" si="0"/>
        <v>-0.29231397745282378</v>
      </c>
      <c r="C267" s="47">
        <f t="shared" si="1"/>
        <v>0.21237853614980293</v>
      </c>
      <c r="D267" s="47">
        <f t="shared" si="2"/>
        <v>0.3613199469049877</v>
      </c>
    </row>
    <row r="268" spans="1:7">
      <c r="B268" s="47"/>
      <c r="C268" s="47"/>
      <c r="D268" s="47"/>
    </row>
    <row r="269" spans="1:7">
      <c r="A269" t="s">
        <v>243</v>
      </c>
    </row>
    <row r="271" spans="1:7">
      <c r="B271" s="47">
        <v>0</v>
      </c>
      <c r="C271" s="46"/>
      <c r="D271" s="46"/>
      <c r="E271" s="46"/>
      <c r="F271" s="46"/>
      <c r="G271" s="46"/>
    </row>
    <row r="272" spans="1:7">
      <c r="B272" s="47">
        <f>D240</f>
        <v>0.3613199469049877</v>
      </c>
      <c r="C272" s="46"/>
      <c r="D272" s="46"/>
      <c r="E272" s="46"/>
      <c r="F272" s="46"/>
      <c r="G272" s="46"/>
    </row>
    <row r="273" spans="1:7">
      <c r="A273" s="55" t="s">
        <v>262</v>
      </c>
      <c r="B273" s="47">
        <f>D240</f>
        <v>0.3613199469049877</v>
      </c>
      <c r="C273" s="46"/>
      <c r="D273" s="46"/>
      <c r="E273" s="46"/>
      <c r="F273" s="46"/>
      <c r="G273" s="46"/>
    </row>
    <row r="274" spans="1:7">
      <c r="A274" s="56"/>
      <c r="B274" s="47">
        <v>0</v>
      </c>
      <c r="C274" s="46"/>
      <c r="D274" s="46"/>
      <c r="E274" s="46"/>
      <c r="F274" s="46"/>
      <c r="G274" s="46"/>
    </row>
    <row r="275" spans="1:7">
      <c r="B275" s="47">
        <f>F271</f>
        <v>0</v>
      </c>
      <c r="C275" s="46"/>
      <c r="D275" s="46"/>
      <c r="E275" s="46"/>
      <c r="F275" s="46"/>
      <c r="G275" s="46"/>
    </row>
    <row r="276" spans="1:7">
      <c r="B276" s="47">
        <f>G271</f>
        <v>0</v>
      </c>
      <c r="C276" s="46"/>
      <c r="D276" s="46"/>
      <c r="E276" s="46"/>
      <c r="F276" s="46"/>
      <c r="G276" s="46"/>
    </row>
    <row r="278" spans="1:7">
      <c r="A278" t="s">
        <v>222</v>
      </c>
    </row>
    <row r="279" spans="1:7">
      <c r="A279" s="13" t="s">
        <v>231</v>
      </c>
    </row>
    <row r="280" spans="1:7">
      <c r="A280" s="29" t="s">
        <v>185</v>
      </c>
      <c r="B280" s="29" t="s">
        <v>223</v>
      </c>
      <c r="C280" s="29" t="s">
        <v>224</v>
      </c>
      <c r="D280" s="29" t="s">
        <v>225</v>
      </c>
      <c r="E280" s="29" t="s">
        <v>228</v>
      </c>
      <c r="F280" s="29" t="s">
        <v>226</v>
      </c>
    </row>
    <row r="281" spans="1:7">
      <c r="A281" s="29" t="s">
        <v>189</v>
      </c>
      <c r="B281" s="4">
        <f>B219*2.4/9.81</f>
        <v>29.225277064220176</v>
      </c>
      <c r="C281" s="6">
        <f>(POWER(B216,2)+POWER(E41,2))/12</f>
        <v>2.840033333333333</v>
      </c>
      <c r="D281" s="24">
        <v>0</v>
      </c>
      <c r="E281" s="1">
        <f>B281*D281</f>
        <v>0</v>
      </c>
      <c r="F281" s="1">
        <f>C281*B281+E281</f>
        <v>83.000761038287436</v>
      </c>
    </row>
    <row r="282" spans="1:7">
      <c r="A282" s="13" t="s">
        <v>199</v>
      </c>
      <c r="B282" s="4">
        <f>B224/9.81</f>
        <v>2.1661569826707439</v>
      </c>
      <c r="C282" s="6">
        <f>106.25/9.81</f>
        <v>10.830784913353719</v>
      </c>
      <c r="D282" s="6">
        <v>5.33</v>
      </c>
      <c r="E282" s="1">
        <f t="shared" ref="E282" si="3">B282*D282</f>
        <v>11.545616717635065</v>
      </c>
      <c r="F282" s="1">
        <f>C282+E282</f>
        <v>22.376401630988784</v>
      </c>
    </row>
    <row r="283" spans="1:7">
      <c r="A283" s="29" t="s">
        <v>196</v>
      </c>
      <c r="B283" s="4">
        <f>SUM(B281:B282)</f>
        <v>31.391434046890922</v>
      </c>
      <c r="C283" s="6"/>
      <c r="D283" s="19"/>
      <c r="E283" s="44" t="s">
        <v>230</v>
      </c>
      <c r="F283" s="1">
        <f>SUM(F281:F282)</f>
        <v>105.37716266927622</v>
      </c>
      <c r="G283" s="13" t="s">
        <v>229</v>
      </c>
    </row>
    <row r="285" spans="1:7">
      <c r="A285" s="13" t="s">
        <v>232</v>
      </c>
    </row>
    <row r="286" spans="1:7">
      <c r="A286" s="29" t="s">
        <v>185</v>
      </c>
      <c r="B286" s="29" t="s">
        <v>223</v>
      </c>
      <c r="C286" s="29" t="s">
        <v>224</v>
      </c>
      <c r="D286" s="29" t="s">
        <v>225</v>
      </c>
      <c r="E286" s="29" t="s">
        <v>228</v>
      </c>
      <c r="F286" s="29" t="s">
        <v>226</v>
      </c>
    </row>
    <row r="287" spans="1:7">
      <c r="A287" s="29" t="s">
        <v>189</v>
      </c>
      <c r="B287" s="4">
        <f>B281</f>
        <v>29.225277064220176</v>
      </c>
      <c r="C287" s="6">
        <f>(POWER(D35,2)+POWER(E41,2))/12</f>
        <v>11.111841666666669</v>
      </c>
      <c r="D287" s="24">
        <v>0</v>
      </c>
      <c r="E287" s="1">
        <f>B287*D287</f>
        <v>0</v>
      </c>
      <c r="F287" s="1">
        <f>C287*B287+E287</f>
        <v>324.74665140207946</v>
      </c>
    </row>
    <row r="288" spans="1:7">
      <c r="A288" s="13" t="s">
        <v>199</v>
      </c>
      <c r="B288" s="4">
        <f t="shared" ref="B288" si="4">B282</f>
        <v>2.1661569826707439</v>
      </c>
      <c r="C288" s="6">
        <f>106.25/9.81</f>
        <v>10.830784913353719</v>
      </c>
      <c r="D288" s="6">
        <v>5.33</v>
      </c>
      <c r="E288" s="1">
        <f t="shared" ref="E288" si="5">B288*D288</f>
        <v>11.545616717635065</v>
      </c>
      <c r="F288" s="1">
        <f>C288+E288</f>
        <v>22.376401630988784</v>
      </c>
    </row>
    <row r="289" spans="1:7">
      <c r="A289" s="29" t="s">
        <v>196</v>
      </c>
      <c r="B289" s="4">
        <f>SUM(B287:B288)</f>
        <v>31.391434046890922</v>
      </c>
      <c r="C289" s="6"/>
      <c r="D289" s="19"/>
      <c r="E289" s="44" t="s">
        <v>230</v>
      </c>
      <c r="F289" s="1">
        <f>SUM(F287:F288)</f>
        <v>347.12305303306823</v>
      </c>
      <c r="G289" s="13" t="s">
        <v>229</v>
      </c>
    </row>
    <row r="290" spans="1:7">
      <c r="A290" s="29"/>
      <c r="B290" s="4"/>
      <c r="C290" s="6"/>
      <c r="D290" s="19"/>
      <c r="E290" s="44"/>
      <c r="F290" s="1"/>
      <c r="G290" s="13"/>
    </row>
    <row r="291" spans="1:7">
      <c r="A291" s="29"/>
      <c r="B291" s="4"/>
      <c r="C291" s="6"/>
      <c r="D291" s="19"/>
      <c r="E291" s="44"/>
      <c r="F291" s="1"/>
      <c r="G291" s="13"/>
    </row>
    <row r="292" spans="1:7">
      <c r="A292" s="13" t="s">
        <v>233</v>
      </c>
    </row>
    <row r="293" spans="1:7">
      <c r="A293" s="29" t="s">
        <v>185</v>
      </c>
      <c r="B293" s="29" t="s">
        <v>223</v>
      </c>
      <c r="C293" s="29" t="s">
        <v>224</v>
      </c>
      <c r="D293" s="29" t="s">
        <v>225</v>
      </c>
      <c r="E293" s="29" t="s">
        <v>228</v>
      </c>
      <c r="F293" s="29" t="s">
        <v>226</v>
      </c>
    </row>
    <row r="294" spans="1:7">
      <c r="A294" s="29" t="s">
        <v>189</v>
      </c>
      <c r="B294" s="4">
        <f>B287</f>
        <v>29.225277064220176</v>
      </c>
      <c r="C294" s="6">
        <f>(POWER(D35,2)+POWER(B35,2))/12</f>
        <v>13.350208333333333</v>
      </c>
      <c r="D294" s="24">
        <v>0</v>
      </c>
      <c r="E294" s="1">
        <f>B294*D294</f>
        <v>0</v>
      </c>
      <c r="F294" s="1">
        <f>C294*B294+E294</f>
        <v>390.1635374067277</v>
      </c>
    </row>
    <row r="295" spans="1:7">
      <c r="A295" s="29" t="s">
        <v>196</v>
      </c>
      <c r="B295" s="4">
        <f>SUM(B294:B294)</f>
        <v>29.225277064220176</v>
      </c>
      <c r="C295" s="6"/>
      <c r="D295" s="19"/>
      <c r="E295" s="44" t="s">
        <v>230</v>
      </c>
      <c r="F295" s="1">
        <f>SUM(F294:F294)</f>
        <v>390.1635374067277</v>
      </c>
      <c r="G295" s="13" t="s">
        <v>229</v>
      </c>
    </row>
    <row r="296" spans="1:7">
      <c r="A296" s="29"/>
      <c r="B296" s="4"/>
      <c r="C296" s="6"/>
      <c r="D296" s="19"/>
      <c r="E296" s="44"/>
      <c r="F296" s="1"/>
      <c r="G296" s="13"/>
    </row>
    <row r="297" spans="1:7">
      <c r="A297" s="13" t="s">
        <v>235</v>
      </c>
      <c r="C297" s="4">
        <f>B283+(B220+B221)*2.4/9.81</f>
        <v>40.815713924566765</v>
      </c>
      <c r="D297" s="13" t="s">
        <v>236</v>
      </c>
    </row>
    <row r="298" spans="1:7">
      <c r="A298" s="13" t="s">
        <v>234</v>
      </c>
      <c r="C298" s="4"/>
      <c r="D298" s="13"/>
      <c r="E298" s="13"/>
    </row>
    <row r="300" spans="1:7">
      <c r="B300" s="4">
        <f>C297</f>
        <v>40.815713924566765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</row>
    <row r="301" spans="1:7">
      <c r="B301" s="19">
        <v>0</v>
      </c>
      <c r="C301" s="4">
        <f>C297</f>
        <v>40.815713924566765</v>
      </c>
      <c r="D301" s="19">
        <v>0</v>
      </c>
      <c r="E301" s="19">
        <v>0</v>
      </c>
      <c r="F301" s="19">
        <v>0</v>
      </c>
      <c r="G301" s="19">
        <v>0</v>
      </c>
    </row>
    <row r="302" spans="1:7">
      <c r="A302" s="55" t="s">
        <v>237</v>
      </c>
      <c r="B302" s="19">
        <v>0</v>
      </c>
      <c r="C302" s="19">
        <v>0</v>
      </c>
      <c r="D302" s="4">
        <f>C297</f>
        <v>40.815713924566765</v>
      </c>
      <c r="E302" s="19">
        <v>0</v>
      </c>
      <c r="F302" s="19">
        <v>0</v>
      </c>
      <c r="G302" s="19">
        <v>0</v>
      </c>
    </row>
    <row r="303" spans="1:7">
      <c r="A303" s="56"/>
      <c r="B303" s="19">
        <v>0</v>
      </c>
      <c r="C303" s="19">
        <v>0</v>
      </c>
      <c r="D303" s="19">
        <v>0</v>
      </c>
      <c r="E303" s="4">
        <f>F283</f>
        <v>105.37716266927622</v>
      </c>
      <c r="F303" s="19">
        <v>0</v>
      </c>
      <c r="G303" s="19">
        <v>0</v>
      </c>
    </row>
    <row r="304" spans="1:7">
      <c r="B304" s="19">
        <v>0</v>
      </c>
      <c r="C304" s="19">
        <v>0</v>
      </c>
      <c r="D304" s="19">
        <v>0</v>
      </c>
      <c r="E304" s="19">
        <v>0</v>
      </c>
      <c r="F304" s="4">
        <f>F289</f>
        <v>347.12305303306823</v>
      </c>
      <c r="G304" s="19">
        <v>0</v>
      </c>
    </row>
    <row r="305" spans="1:7">
      <c r="B305" s="19">
        <v>0</v>
      </c>
      <c r="C305" s="19">
        <v>0</v>
      </c>
      <c r="D305" s="19">
        <v>0</v>
      </c>
      <c r="E305" s="19">
        <v>0</v>
      </c>
      <c r="F305" s="19">
        <v>0</v>
      </c>
      <c r="G305" s="6">
        <f>B41</f>
        <v>839.36497850000001</v>
      </c>
    </row>
    <row r="307" spans="1:7">
      <c r="A307" s="13" t="s">
        <v>238</v>
      </c>
    </row>
    <row r="309" spans="1:7">
      <c r="B309" s="46">
        <f>D80</f>
        <v>3016414.7092254441</v>
      </c>
      <c r="C309" s="46">
        <v>0</v>
      </c>
      <c r="D309" s="46">
        <v>0</v>
      </c>
      <c r="E309" s="46">
        <v>0</v>
      </c>
      <c r="F309" s="46">
        <f>D80*E195</f>
        <v>-2413131.7673803554</v>
      </c>
      <c r="G309" s="46">
        <f>-D80*E194</f>
        <v>-8325304.5974622266</v>
      </c>
    </row>
    <row r="310" spans="1:7">
      <c r="B310" s="46">
        <v>0</v>
      </c>
      <c r="C310" s="46">
        <f>D81</f>
        <v>3184361.7961419928</v>
      </c>
      <c r="D310" s="46">
        <v>0</v>
      </c>
      <c r="E310" s="46">
        <f>-D81*F208</f>
        <v>2547489.4369135946</v>
      </c>
      <c r="F310" s="46">
        <v>0</v>
      </c>
      <c r="G310" s="46">
        <f>D81*F207</f>
        <v>18134940.429028653</v>
      </c>
    </row>
    <row r="311" spans="1:7">
      <c r="A311" s="55" t="s">
        <v>242</v>
      </c>
      <c r="B311" s="46">
        <v>0</v>
      </c>
      <c r="C311" s="46">
        <v>0</v>
      </c>
      <c r="D311" s="46">
        <f>C60</f>
        <v>2248271.482941288</v>
      </c>
      <c r="E311" s="46">
        <f>C60*F171</f>
        <v>6205229.2929179547</v>
      </c>
      <c r="F311" s="46">
        <f>-C60*F170</f>
        <v>-12803906.095350636</v>
      </c>
      <c r="G311" s="46">
        <v>0</v>
      </c>
    </row>
    <row r="312" spans="1:7">
      <c r="A312" s="56"/>
      <c r="B312" s="46">
        <v>0</v>
      </c>
      <c r="C312" s="46">
        <f>E310</f>
        <v>2547489.4369135946</v>
      </c>
      <c r="D312" s="46">
        <f>E311</f>
        <v>6205229.2929179547</v>
      </c>
      <c r="E312" s="46">
        <f>D91+D81*POWER(F208,2)+C60*POWER(F171,2)</f>
        <v>52508338.46708712</v>
      </c>
      <c r="F312" s="46">
        <f>C60*F170*F171</f>
        <v>35338780.823167756</v>
      </c>
      <c r="G312" s="46">
        <f>-D81*F207*F208</f>
        <v>14507952.343222924</v>
      </c>
    </row>
    <row r="313" spans="1:7">
      <c r="B313" s="46">
        <f>F309</f>
        <v>-2413131.7673803554</v>
      </c>
      <c r="C313" s="46">
        <v>0</v>
      </c>
      <c r="D313" s="46">
        <f>F311</f>
        <v>-12803906.095350636</v>
      </c>
      <c r="E313" s="46">
        <f>F312</f>
        <v>35338780.823167756</v>
      </c>
      <c r="F313" s="46">
        <f>D92+D80*POWER(E195,2)+C60*POWER(F170,2)</f>
        <v>157973771.69714618</v>
      </c>
      <c r="G313" s="46">
        <f>-D80*E194*E195</f>
        <v>6660243.6779697817</v>
      </c>
    </row>
    <row r="314" spans="1:7">
      <c r="B314" s="46">
        <f>G309</f>
        <v>-8325304.5974622266</v>
      </c>
      <c r="C314" s="46">
        <f>G310</f>
        <v>18134940.429028653</v>
      </c>
      <c r="D314" s="46">
        <v>0</v>
      </c>
      <c r="E314" s="46">
        <f>G312</f>
        <v>14507952.343222924</v>
      </c>
      <c r="F314" s="46">
        <f>G313</f>
        <v>6660243.6779697817</v>
      </c>
      <c r="G314" s="46">
        <f>E104+D80*POWER(E194,2)+D81*POWER(F207,2)</f>
        <v>243953599.25962102</v>
      </c>
    </row>
    <row r="316" spans="1:7">
      <c r="B316" s="46">
        <f>B300*POWER($B$47,2)</f>
        <v>354380.18954976881</v>
      </c>
      <c r="C316" s="46">
        <f t="shared" ref="C316:G316" si="6">C300*POWER($B$47,2)</f>
        <v>0</v>
      </c>
      <c r="D316" s="46">
        <f t="shared" si="6"/>
        <v>0</v>
      </c>
      <c r="E316" s="46">
        <f t="shared" si="6"/>
        <v>0</v>
      </c>
      <c r="F316" s="46">
        <f t="shared" si="6"/>
        <v>0</v>
      </c>
      <c r="G316" s="46">
        <f t="shared" si="6"/>
        <v>0</v>
      </c>
    </row>
    <row r="317" spans="1:7">
      <c r="B317" s="46">
        <f t="shared" ref="B317:G321" si="7">B301*POWER($B$47,2)</f>
        <v>0</v>
      </c>
      <c r="C317" s="46">
        <f t="shared" si="7"/>
        <v>354380.18954976881</v>
      </c>
      <c r="D317" s="46">
        <f t="shared" si="7"/>
        <v>0</v>
      </c>
      <c r="E317" s="46">
        <f t="shared" si="7"/>
        <v>0</v>
      </c>
      <c r="F317" s="46">
        <f t="shared" si="7"/>
        <v>0</v>
      </c>
      <c r="G317" s="46">
        <f t="shared" si="7"/>
        <v>0</v>
      </c>
    </row>
    <row r="318" spans="1:7">
      <c r="A318" s="55" t="s">
        <v>240</v>
      </c>
      <c r="B318" s="46">
        <f t="shared" si="7"/>
        <v>0</v>
      </c>
      <c r="C318" s="46">
        <f t="shared" si="7"/>
        <v>0</v>
      </c>
      <c r="D318" s="46">
        <f t="shared" si="7"/>
        <v>354380.18954976881</v>
      </c>
      <c r="E318" s="46">
        <f t="shared" si="7"/>
        <v>0</v>
      </c>
      <c r="F318" s="46">
        <f t="shared" si="7"/>
        <v>0</v>
      </c>
      <c r="G318" s="46">
        <f t="shared" si="7"/>
        <v>0</v>
      </c>
    </row>
    <row r="319" spans="1:7">
      <c r="A319" s="56"/>
      <c r="B319" s="46">
        <f t="shared" si="7"/>
        <v>0</v>
      </c>
      <c r="C319" s="46">
        <f t="shared" si="7"/>
        <v>0</v>
      </c>
      <c r="D319" s="46">
        <f t="shared" si="7"/>
        <v>0</v>
      </c>
      <c r="E319" s="46">
        <f t="shared" si="7"/>
        <v>914931.41465003323</v>
      </c>
      <c r="F319" s="46">
        <f t="shared" si="7"/>
        <v>0</v>
      </c>
      <c r="G319" s="46">
        <f t="shared" si="7"/>
        <v>0</v>
      </c>
    </row>
    <row r="320" spans="1:7">
      <c r="B320" s="46">
        <f t="shared" si="7"/>
        <v>0</v>
      </c>
      <c r="C320" s="46">
        <f t="shared" si="7"/>
        <v>0</v>
      </c>
      <c r="D320" s="46">
        <f t="shared" si="7"/>
        <v>0</v>
      </c>
      <c r="E320" s="46">
        <f t="shared" si="7"/>
        <v>0</v>
      </c>
      <c r="F320" s="46">
        <f t="shared" si="7"/>
        <v>3013876.8014275008</v>
      </c>
      <c r="G320" s="46">
        <f t="shared" si="7"/>
        <v>0</v>
      </c>
    </row>
    <row r="321" spans="1:7">
      <c r="B321" s="46">
        <f t="shared" si="7"/>
        <v>0</v>
      </c>
      <c r="C321" s="46">
        <f t="shared" si="7"/>
        <v>0</v>
      </c>
      <c r="D321" s="46">
        <f t="shared" si="7"/>
        <v>0</v>
      </c>
      <c r="E321" s="46">
        <f t="shared" si="7"/>
        <v>0</v>
      </c>
      <c r="F321" s="46">
        <f t="shared" si="7"/>
        <v>0</v>
      </c>
      <c r="G321" s="46">
        <f t="shared" si="7"/>
        <v>7287740.2250516908</v>
      </c>
    </row>
    <row r="323" spans="1:7">
      <c r="B323" s="46">
        <f t="shared" ref="B323:G328" si="8">B309-B316</f>
        <v>2662034.5196756753</v>
      </c>
      <c r="C323" s="46">
        <f t="shared" si="8"/>
        <v>0</v>
      </c>
      <c r="D323" s="46">
        <f t="shared" si="8"/>
        <v>0</v>
      </c>
      <c r="E323" s="46">
        <f t="shared" si="8"/>
        <v>0</v>
      </c>
      <c r="F323" s="46">
        <f t="shared" si="8"/>
        <v>-2413131.7673803554</v>
      </c>
      <c r="G323" s="46">
        <f t="shared" si="8"/>
        <v>-8325304.5974622266</v>
      </c>
    </row>
    <row r="324" spans="1:7">
      <c r="B324" s="46">
        <f t="shared" si="8"/>
        <v>0</v>
      </c>
      <c r="C324" s="46">
        <f t="shared" si="8"/>
        <v>2829981.606592224</v>
      </c>
      <c r="D324" s="46">
        <f t="shared" si="8"/>
        <v>0</v>
      </c>
      <c r="E324" s="46">
        <f t="shared" si="8"/>
        <v>2547489.4369135946</v>
      </c>
      <c r="F324" s="46">
        <f t="shared" si="8"/>
        <v>0</v>
      </c>
      <c r="G324" s="46">
        <f t="shared" si="8"/>
        <v>18134940.429028653</v>
      </c>
    </row>
    <row r="325" spans="1:7">
      <c r="A325" s="55" t="s">
        <v>241</v>
      </c>
      <c r="B325" s="46">
        <f t="shared" si="8"/>
        <v>0</v>
      </c>
      <c r="C325" s="46">
        <f t="shared" si="8"/>
        <v>0</v>
      </c>
      <c r="D325" s="46">
        <f t="shared" si="8"/>
        <v>1893891.2933915192</v>
      </c>
      <c r="E325" s="46">
        <f t="shared" si="8"/>
        <v>6205229.2929179547</v>
      </c>
      <c r="F325" s="46">
        <f t="shared" si="8"/>
        <v>-12803906.095350636</v>
      </c>
      <c r="G325" s="46">
        <f t="shared" si="8"/>
        <v>0</v>
      </c>
    </row>
    <row r="326" spans="1:7">
      <c r="A326" s="56"/>
      <c r="B326" s="46">
        <f t="shared" si="8"/>
        <v>0</v>
      </c>
      <c r="C326" s="46">
        <f t="shared" si="8"/>
        <v>2547489.4369135946</v>
      </c>
      <c r="D326" s="46">
        <f t="shared" si="8"/>
        <v>6205229.2929179547</v>
      </c>
      <c r="E326" s="46">
        <f t="shared" si="8"/>
        <v>51593407.052437089</v>
      </c>
      <c r="F326" s="46">
        <f t="shared" si="8"/>
        <v>35338780.823167756</v>
      </c>
      <c r="G326" s="46">
        <f t="shared" si="8"/>
        <v>14507952.343222924</v>
      </c>
    </row>
    <row r="327" spans="1:7">
      <c r="B327" s="46">
        <f t="shared" si="8"/>
        <v>-2413131.7673803554</v>
      </c>
      <c r="C327" s="46">
        <f t="shared" si="8"/>
        <v>0</v>
      </c>
      <c r="D327" s="46">
        <f t="shared" si="8"/>
        <v>-12803906.095350636</v>
      </c>
      <c r="E327" s="46">
        <f t="shared" si="8"/>
        <v>35338780.823167756</v>
      </c>
      <c r="F327" s="46">
        <f t="shared" si="8"/>
        <v>154959894.89571866</v>
      </c>
      <c r="G327" s="46">
        <f t="shared" si="8"/>
        <v>6660243.6779697817</v>
      </c>
    </row>
    <row r="328" spans="1:7">
      <c r="B328" s="46">
        <f t="shared" si="8"/>
        <v>-8325304.5974622266</v>
      </c>
      <c r="C328" s="46">
        <f t="shared" si="8"/>
        <v>18134940.429028653</v>
      </c>
      <c r="D328" s="46">
        <f t="shared" si="8"/>
        <v>0</v>
      </c>
      <c r="E328" s="46">
        <f t="shared" si="8"/>
        <v>14507952.343222924</v>
      </c>
      <c r="F328" s="46">
        <f t="shared" si="8"/>
        <v>6660243.6779697817</v>
      </c>
      <c r="G328" s="46">
        <f t="shared" si="8"/>
        <v>236665859.03456932</v>
      </c>
    </row>
    <row r="329" spans="1:7">
      <c r="B329" s="4"/>
      <c r="C329" s="4"/>
      <c r="D329" s="4"/>
      <c r="E329" s="4"/>
      <c r="F329" s="4"/>
      <c r="G329" s="4"/>
    </row>
    <row r="330" spans="1:7">
      <c r="B330" s="51">
        <f t="array" ref="B330:G335">MINVERSE(B323:G328)</f>
        <v>4.7508123271061396E-7</v>
      </c>
      <c r="C330" s="51">
        <v>-2.2917052577916738E-7</v>
      </c>
      <c r="D330" s="51">
        <v>-9.2592788435289437E-8</v>
      </c>
      <c r="E330" s="51">
        <v>1.6849049204891516E-8</v>
      </c>
      <c r="F330" s="51">
        <v>-5.5302234831401184E-9</v>
      </c>
      <c r="G330" s="51">
        <v>3.3395510739433657E-8</v>
      </c>
    </row>
    <row r="331" spans="1:7">
      <c r="B331" s="51">
        <v>-2.2917052577916751E-7</v>
      </c>
      <c r="C331" s="51">
        <v>7.7350341575351912E-7</v>
      </c>
      <c r="D331" s="51">
        <v>-1.7991613598807298E-7</v>
      </c>
      <c r="E331" s="51">
        <v>1.556010067071095E-8</v>
      </c>
      <c r="F331" s="51">
        <v>-1.9071337230009657E-8</v>
      </c>
      <c r="G331" s="51">
        <v>-6.7749857581444157E-8</v>
      </c>
    </row>
    <row r="332" spans="1:7" ht="14.25">
      <c r="A332" s="29" t="s">
        <v>261</v>
      </c>
      <c r="B332" s="51">
        <v>-9.2592788435289476E-8</v>
      </c>
      <c r="C332" s="51">
        <v>-1.7991613598807301E-7</v>
      </c>
      <c r="D332" s="51">
        <v>-8.1739340291147426E-7</v>
      </c>
      <c r="E332" s="51">
        <v>1.8229473967802956E-7</v>
      </c>
      <c r="F332" s="51">
        <v>-1.1065947999800167E-7</v>
      </c>
      <c r="G332" s="51">
        <v>2.4684631314830203E-9</v>
      </c>
    </row>
    <row r="333" spans="1:7">
      <c r="B333" s="51">
        <v>1.6849049204891506E-8</v>
      </c>
      <c r="C333" s="51">
        <v>1.556010067071095E-8</v>
      </c>
      <c r="D333" s="51">
        <v>1.8229473967802958E-7</v>
      </c>
      <c r="E333" s="51">
        <v>-1.6323364734099739E-8</v>
      </c>
      <c r="F333" s="51">
        <v>1.9053263705898289E-8</v>
      </c>
      <c r="G333" s="51">
        <v>-1.3516446163256808E-10</v>
      </c>
    </row>
    <row r="334" spans="1:7">
      <c r="B334" s="51">
        <v>-5.5302234831401142E-9</v>
      </c>
      <c r="C334" s="51">
        <v>-1.9071337230009657E-8</v>
      </c>
      <c r="D334" s="51">
        <v>-1.1065947999800168E-7</v>
      </c>
      <c r="E334" s="51">
        <v>1.9053263705898289E-8</v>
      </c>
      <c r="F334" s="51">
        <v>-7.1343193979755793E-9</v>
      </c>
      <c r="G334" s="51">
        <v>2.99617501684333E-10</v>
      </c>
    </row>
    <row r="335" spans="1:7">
      <c r="B335" s="51">
        <v>3.3395510739433584E-8</v>
      </c>
      <c r="C335" s="51">
        <v>-6.774985758144417E-8</v>
      </c>
      <c r="D335" s="51">
        <v>2.4684631314830154E-9</v>
      </c>
      <c r="E335" s="51">
        <v>-1.3516446163256739E-10</v>
      </c>
      <c r="F335" s="51">
        <v>2.9961750168433259E-10</v>
      </c>
      <c r="G335" s="51">
        <v>1.0591442612931307E-8</v>
      </c>
    </row>
    <row r="336" spans="1:7">
      <c r="B336" s="4"/>
      <c r="C336" s="4"/>
      <c r="D336" s="4"/>
      <c r="E336" s="4"/>
      <c r="F336" s="4"/>
      <c r="G336" s="4"/>
    </row>
    <row r="337" spans="1:7">
      <c r="A337" s="13" t="s">
        <v>244</v>
      </c>
    </row>
    <row r="338" spans="1:7">
      <c r="A338" s="14" t="s">
        <v>245</v>
      </c>
      <c r="B338" s="54">
        <f t="array" ref="B338:B343">MMULT(B330:G335,B271:B276)</f>
        <v>-1.1625950360794041E-7</v>
      </c>
      <c r="C338" s="13" t="s">
        <v>251</v>
      </c>
      <c r="D338" s="52">
        <f>B338*100000/2.54</f>
        <v>-4.5771458113362373E-3</v>
      </c>
      <c r="E338" s="13" t="s">
        <v>257</v>
      </c>
      <c r="F338" s="50">
        <f>D338/1000</f>
        <v>-4.5771458113362374E-6</v>
      </c>
      <c r="G338" s="13" t="s">
        <v>258</v>
      </c>
    </row>
    <row r="339" spans="1:7">
      <c r="A339" s="14" t="s">
        <v>260</v>
      </c>
      <c r="B339" s="54">
        <v>2.1447492440832706E-7</v>
      </c>
      <c r="C339" s="13" t="s">
        <v>251</v>
      </c>
      <c r="D339" s="52">
        <f t="shared" ref="D339:D340" si="9">B339*100000/2.54</f>
        <v>8.4438946617451591E-3</v>
      </c>
      <c r="E339" s="13" t="s">
        <v>257</v>
      </c>
      <c r="F339" s="50">
        <f>D339/1000</f>
        <v>8.4438946617451584E-6</v>
      </c>
      <c r="G339" s="13" t="s">
        <v>258</v>
      </c>
    </row>
    <row r="340" spans="1:7">
      <c r="A340" s="14" t="s">
        <v>246</v>
      </c>
      <c r="B340" s="54">
        <v>-3.6034782964302218E-7</v>
      </c>
      <c r="C340" s="13" t="s">
        <v>251</v>
      </c>
      <c r="D340" s="52">
        <f t="shared" si="9"/>
        <v>-1.4186922426890635E-2</v>
      </c>
      <c r="E340" s="13" t="s">
        <v>257</v>
      </c>
      <c r="F340" s="50">
        <f>D340/1000</f>
        <v>-1.4186922426890634E-5</v>
      </c>
      <c r="G340" s="13" t="s">
        <v>258</v>
      </c>
    </row>
    <row r="341" spans="1:7" ht="15.75">
      <c r="A341" s="14" t="s">
        <v>247</v>
      </c>
      <c r="B341" s="53">
        <v>7.1488900409701757E-8</v>
      </c>
      <c r="C341" s="13" t="s">
        <v>250</v>
      </c>
      <c r="D341" s="53">
        <f>DEGREES(B341)</f>
        <v>4.0960122755069721E-6</v>
      </c>
      <c r="E341" s="13" t="s">
        <v>252</v>
      </c>
      <c r="F341" s="14" t="s">
        <v>253</v>
      </c>
      <c r="G341">
        <f>SIN(B341)</f>
        <v>7.1488900409701691E-8</v>
      </c>
    </row>
    <row r="342" spans="1:7" ht="15.75">
      <c r="A342" s="14" t="s">
        <v>248</v>
      </c>
      <c r="B342" s="53">
        <v>-4.6874331992765723E-8</v>
      </c>
      <c r="C342" s="13" t="s">
        <v>250</v>
      </c>
      <c r="D342" s="53">
        <f t="shared" ref="D342:D343" si="10">DEGREES(B342)</f>
        <v>-2.6857013906805255E-6</v>
      </c>
      <c r="E342" s="13" t="s">
        <v>252</v>
      </c>
      <c r="F342" s="14" t="s">
        <v>253</v>
      </c>
      <c r="G342">
        <f t="shared" ref="G342:G343" si="11">SIN(B342)</f>
        <v>-4.6874331992765703E-8</v>
      </c>
    </row>
    <row r="343" spans="1:7" ht="15.75">
      <c r="A343" s="14" t="s">
        <v>249</v>
      </c>
      <c r="B343" s="53">
        <v>-2.3587469976543523E-8</v>
      </c>
      <c r="C343" s="13" t="s">
        <v>250</v>
      </c>
      <c r="D343" s="53">
        <f t="shared" si="10"/>
        <v>-1.3514624790474868E-6</v>
      </c>
      <c r="E343" s="13" t="s">
        <v>252</v>
      </c>
      <c r="F343" s="14" t="s">
        <v>253</v>
      </c>
      <c r="G343">
        <f t="shared" si="11"/>
        <v>-2.3587469976543519E-8</v>
      </c>
    </row>
    <row r="344" spans="1:7">
      <c r="A344" s="20"/>
    </row>
    <row r="345" spans="1:7">
      <c r="A345" s="14"/>
      <c r="B345" s="48"/>
      <c r="C345" s="13"/>
      <c r="D345" s="49"/>
      <c r="E345" s="13"/>
      <c r="F345" s="50"/>
      <c r="G345" s="13"/>
    </row>
    <row r="346" spans="1:7">
      <c r="A346" s="14"/>
      <c r="B346" s="48"/>
      <c r="C346" s="13"/>
      <c r="D346" s="49"/>
      <c r="E346" s="13"/>
      <c r="F346" s="50"/>
      <c r="G346" s="13"/>
    </row>
    <row r="347" spans="1:7">
      <c r="A347" s="14"/>
      <c r="B347" s="48"/>
      <c r="C347" s="13"/>
      <c r="D347" s="49"/>
      <c r="E347" s="13"/>
      <c r="F347" s="50"/>
      <c r="G347" s="13"/>
    </row>
    <row r="348" spans="1:7">
      <c r="A348" s="14"/>
      <c r="B348" s="48"/>
      <c r="C348" s="13"/>
      <c r="E348" s="13"/>
      <c r="F348" s="14"/>
    </row>
    <row r="349" spans="1:7">
      <c r="A349" s="14"/>
      <c r="B349" s="48"/>
      <c r="C349" s="13"/>
      <c r="E349" s="13"/>
      <c r="F349" s="14"/>
    </row>
    <row r="350" spans="1:7">
      <c r="A350" s="14"/>
      <c r="B350" s="48"/>
      <c r="C350" s="13"/>
      <c r="E350" s="13"/>
      <c r="F350" s="14"/>
    </row>
  </sheetData>
  <mergeCells count="6">
    <mergeCell ref="A325:A326"/>
    <mergeCell ref="A2:G3"/>
    <mergeCell ref="A273:A274"/>
    <mergeCell ref="A302:A303"/>
    <mergeCell ref="A311:A312"/>
    <mergeCell ref="A318:A319"/>
  </mergeCells>
  <pageMargins left="0.98425196850393704" right="0.74803149606299213" top="0.98425196850393704" bottom="0.78740157480314965" header="0.39370078740157483" footer="0.39370078740157483"/>
  <pageSetup scale="98" orientation="portrait" horizontalDpi="4294967293" r:id="rId1"/>
  <headerFooter alignWithMargins="0">
    <oddHeader>&amp;CTesis de Maestría</oddHeader>
    <oddFooter>&amp;CIng Ulises Talonia Vargas</oddFooter>
  </headerFooter>
  <rowBreaks count="5" manualBreakCount="5">
    <brk id="48" max="16383" man="1"/>
    <brk id="93" max="6" man="1"/>
    <brk id="142" max="6" man="1"/>
    <brk id="190" max="6" man="1"/>
    <brk id="237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G350"/>
  <sheetViews>
    <sheetView tabSelected="1" topLeftCell="A40" zoomScaleSheetLayoutView="100" workbookViewId="0">
      <selection activeCell="F46" sqref="F46"/>
    </sheetView>
  </sheetViews>
  <sheetFormatPr baseColWidth="10" defaultRowHeight="12.75"/>
  <cols>
    <col min="1" max="1" width="8.7109375" customWidth="1"/>
    <col min="2" max="2" width="12.7109375" customWidth="1"/>
    <col min="3" max="3" width="13.7109375" customWidth="1"/>
    <col min="4" max="4" width="11.7109375" customWidth="1"/>
    <col min="5" max="5" width="12.7109375" bestFit="1" customWidth="1"/>
    <col min="6" max="6" width="14.42578125" customWidth="1"/>
    <col min="7" max="7" width="12.42578125" customWidth="1"/>
    <col min="9" max="9" width="13" bestFit="1" customWidth="1"/>
  </cols>
  <sheetData>
    <row r="2" spans="1:7" ht="18" customHeight="1">
      <c r="A2" s="57" t="s">
        <v>0</v>
      </c>
      <c r="B2" s="58"/>
      <c r="C2" s="58"/>
      <c r="D2" s="58"/>
      <c r="E2" s="58"/>
      <c r="F2" s="58"/>
      <c r="G2" s="58"/>
    </row>
    <row r="3" spans="1:7" ht="18" customHeight="1">
      <c r="A3" s="58"/>
      <c r="B3" s="58"/>
      <c r="C3" s="58"/>
      <c r="D3" s="58"/>
      <c r="E3" s="58"/>
      <c r="F3" s="58"/>
      <c r="G3" s="58"/>
    </row>
    <row r="5" spans="1:7">
      <c r="A5" t="s">
        <v>1</v>
      </c>
    </row>
    <row r="33" spans="1:7" ht="13.5" thickBot="1">
      <c r="A33" s="21"/>
      <c r="B33" s="39" t="s">
        <v>106</v>
      </c>
      <c r="C33" s="21"/>
      <c r="D33" s="21"/>
      <c r="E33" s="21"/>
      <c r="F33" s="21"/>
      <c r="G33" s="21"/>
    </row>
    <row r="35" spans="1:7">
      <c r="A35" s="2" t="s">
        <v>2</v>
      </c>
      <c r="B35" s="40">
        <v>5.52</v>
      </c>
      <c r="C35" s="2" t="s">
        <v>3</v>
      </c>
      <c r="D35" s="40">
        <v>11.39</v>
      </c>
      <c r="E35" s="2" t="s">
        <v>17</v>
      </c>
      <c r="F35" s="40">
        <v>1.6</v>
      </c>
    </row>
    <row r="36" spans="1:7">
      <c r="A36" s="2" t="s">
        <v>33</v>
      </c>
      <c r="B36" s="40">
        <v>1.6</v>
      </c>
      <c r="C36" s="2" t="s">
        <v>20</v>
      </c>
      <c r="D36" s="36">
        <f>B35/2</f>
        <v>2.76</v>
      </c>
      <c r="E36" s="2" t="s">
        <v>21</v>
      </c>
      <c r="F36" s="36">
        <f>D35/2</f>
        <v>5.6950000000000003</v>
      </c>
    </row>
    <row r="37" spans="1:7">
      <c r="A37" s="2" t="s">
        <v>35</v>
      </c>
      <c r="B37" s="6">
        <f>B35/D35</f>
        <v>0.48463564530289721</v>
      </c>
      <c r="C37" s="2" t="s">
        <v>36</v>
      </c>
      <c r="D37" s="6">
        <f>F35/D36</f>
        <v>0.57971014492753636</v>
      </c>
      <c r="E37" s="16" t="s">
        <v>51</v>
      </c>
      <c r="F37" s="6">
        <f>B36/D36</f>
        <v>0.57971014492753636</v>
      </c>
    </row>
    <row r="38" spans="1:7">
      <c r="A38" s="2" t="s">
        <v>37</v>
      </c>
      <c r="B38" s="6">
        <f>F36/D36</f>
        <v>2.0634057971014497</v>
      </c>
      <c r="C38" s="16" t="s">
        <v>52</v>
      </c>
      <c r="D38" s="6">
        <f>B36/F36</f>
        <v>0.28094820017559263</v>
      </c>
      <c r="E38" s="14" t="s">
        <v>53</v>
      </c>
      <c r="F38" s="6">
        <f>F35/B36</f>
        <v>1</v>
      </c>
    </row>
    <row r="39" spans="1:7" ht="15.75">
      <c r="A39" s="2" t="s">
        <v>19</v>
      </c>
      <c r="B39" s="41">
        <f>B35*D35</f>
        <v>62.872799999999998</v>
      </c>
      <c r="C39" s="2" t="s">
        <v>18</v>
      </c>
      <c r="D39" s="41">
        <f>2*(D35+B35)*B36</f>
        <v>54.112000000000002</v>
      </c>
      <c r="E39" s="2" t="s">
        <v>27</v>
      </c>
      <c r="F39" s="6">
        <f>B39/(D35*D35)</f>
        <v>0.48463564530289727</v>
      </c>
    </row>
    <row r="40" spans="1:7" ht="15.75">
      <c r="A40" s="14" t="s">
        <v>45</v>
      </c>
      <c r="B40" s="6">
        <f>D35*POWER(B35,3)/12</f>
        <v>159.64661375999998</v>
      </c>
      <c r="C40" s="13" t="s">
        <v>47</v>
      </c>
      <c r="D40" s="14" t="s">
        <v>46</v>
      </c>
      <c r="E40" s="6">
        <f>B35*POWER(D35,3)/12</f>
        <v>679.71836473999997</v>
      </c>
      <c r="F40" s="13" t="s">
        <v>47</v>
      </c>
    </row>
    <row r="41" spans="1:7" ht="15.75">
      <c r="A41" s="14" t="s">
        <v>98</v>
      </c>
      <c r="B41" s="6">
        <f>B40+E40</f>
        <v>839.36497850000001</v>
      </c>
      <c r="C41" s="13" t="s">
        <v>47</v>
      </c>
      <c r="D41" s="13" t="s">
        <v>227</v>
      </c>
      <c r="E41" s="36">
        <v>1.9</v>
      </c>
    </row>
    <row r="42" spans="1:7" ht="15.75">
      <c r="A42" s="16" t="s">
        <v>99</v>
      </c>
      <c r="B42" s="40">
        <v>14.5</v>
      </c>
      <c r="C42" s="5" t="s">
        <v>7</v>
      </c>
      <c r="D42" s="3">
        <v>0.25</v>
      </c>
      <c r="E42" s="2" t="s">
        <v>8</v>
      </c>
      <c r="F42" s="3">
        <v>690</v>
      </c>
      <c r="G42" t="s">
        <v>9</v>
      </c>
    </row>
    <row r="43" spans="1:7" ht="14.25">
      <c r="A43" s="5" t="s">
        <v>12</v>
      </c>
      <c r="B43" s="3">
        <v>1.94</v>
      </c>
      <c r="C43" t="s">
        <v>13</v>
      </c>
      <c r="D43" s="5" t="s">
        <v>10</v>
      </c>
      <c r="E43" s="7">
        <f>B43/9.81</f>
        <v>0.19775739041794085</v>
      </c>
      <c r="F43" t="s">
        <v>14</v>
      </c>
    </row>
    <row r="44" spans="1:7">
      <c r="A44" s="5" t="s">
        <v>107</v>
      </c>
      <c r="B44" s="24">
        <v>0.03</v>
      </c>
      <c r="C44" s="13"/>
      <c r="D44" s="2" t="s">
        <v>6</v>
      </c>
      <c r="E44" s="1">
        <f>E43*F42*F42</f>
        <v>94152.293577981633</v>
      </c>
      <c r="F44" t="s">
        <v>11</v>
      </c>
    </row>
    <row r="45" spans="1:7">
      <c r="A45" t="s">
        <v>23</v>
      </c>
      <c r="D45" s="3">
        <v>14.83</v>
      </c>
      <c r="E45" t="s">
        <v>24</v>
      </c>
    </row>
    <row r="46" spans="1:7" ht="15.75">
      <c r="A46" s="2" t="s">
        <v>97</v>
      </c>
      <c r="B46" s="4">
        <f>F42/(4*B42)</f>
        <v>11.896551724137931</v>
      </c>
      <c r="C46" s="13" t="s">
        <v>24</v>
      </c>
      <c r="E46" s="13"/>
      <c r="F46" s="2" t="s">
        <v>272</v>
      </c>
      <c r="G46" s="7">
        <f>B47*D36/F42</f>
        <v>0.372718552421893</v>
      </c>
    </row>
    <row r="47" spans="1:7">
      <c r="A47" s="5" t="s">
        <v>22</v>
      </c>
      <c r="B47" s="6">
        <f>2*PI()*D45</f>
        <v>93.179638105473259</v>
      </c>
      <c r="C47" s="13" t="s">
        <v>254</v>
      </c>
    </row>
    <row r="48" spans="1:7" ht="13.5" thickBot="1">
      <c r="A48" s="21"/>
      <c r="B48" s="21"/>
      <c r="C48" s="21"/>
      <c r="D48" s="21"/>
      <c r="E48" s="22"/>
      <c r="F48" s="23"/>
      <c r="G48" s="21"/>
    </row>
    <row r="49" spans="1:7" ht="15">
      <c r="A49" s="12" t="s">
        <v>42</v>
      </c>
      <c r="B49" s="6"/>
      <c r="D49" s="2"/>
      <c r="E49" s="1"/>
    </row>
    <row r="50" spans="1:7">
      <c r="A50" s="10" t="s">
        <v>4</v>
      </c>
      <c r="B50" s="6"/>
      <c r="D50" s="2"/>
      <c r="E50" s="1"/>
    </row>
    <row r="51" spans="1:7" ht="15.75">
      <c r="A51" s="2" t="s">
        <v>5</v>
      </c>
      <c r="B51" s="6">
        <f>IF(F39&lt;0.02,0.8,0.73+1.54*POWER(F39,0.75))</f>
        <v>1.6245038951814859</v>
      </c>
    </row>
    <row r="52" spans="1:7" ht="14.25">
      <c r="A52" s="8" t="s">
        <v>40</v>
      </c>
      <c r="B52" s="9">
        <f>D35*E44*B51/(1-D42)</f>
        <v>2322812.3248283002</v>
      </c>
      <c r="C52" s="10" t="s">
        <v>15</v>
      </c>
      <c r="D52" t="s">
        <v>16</v>
      </c>
    </row>
    <row r="53" spans="1:7" ht="14.25">
      <c r="A53" s="8" t="s">
        <v>25</v>
      </c>
      <c r="B53" s="9">
        <f>B52*(1+(F35/(21*D36))*(1+4*B39/(12*F36*F36))*(1+0.19*POWER((D39/B39),2/3)))</f>
        <v>2446514.8207322638</v>
      </c>
      <c r="C53" s="10" t="s">
        <v>15</v>
      </c>
      <c r="D53" t="s">
        <v>34</v>
      </c>
    </row>
    <row r="54" spans="1:7" ht="14.25">
      <c r="A54" s="8" t="s">
        <v>141</v>
      </c>
      <c r="B54" s="31">
        <f>B52*(1+(F35/(21*D36))*(1+4*B39/(12*F36*F36)))</f>
        <v>2428368.4101683288</v>
      </c>
      <c r="C54" s="13" t="s">
        <v>15</v>
      </c>
      <c r="D54" s="10"/>
    </row>
    <row r="55" spans="1:7" ht="14.25">
      <c r="A55" s="8" t="s">
        <v>133</v>
      </c>
      <c r="B55" s="31">
        <f>B53-B54</f>
        <v>18146.41056393506</v>
      </c>
      <c r="C55" s="13" t="s">
        <v>15</v>
      </c>
    </row>
    <row r="56" spans="1:7" ht="14.25">
      <c r="A56" s="8" t="s">
        <v>134</v>
      </c>
      <c r="B56" s="1">
        <f>B55/D39</f>
        <v>335.34910119631616</v>
      </c>
      <c r="C56" s="13" t="s">
        <v>135</v>
      </c>
    </row>
    <row r="57" spans="1:7" ht="14.25">
      <c r="A57" s="11" t="s">
        <v>41</v>
      </c>
      <c r="B57" s="10"/>
      <c r="C57" s="10"/>
      <c r="E57" s="8" t="s">
        <v>40</v>
      </c>
      <c r="F57" s="9">
        <f>B58*B52</f>
        <v>2253127.9550834512</v>
      </c>
      <c r="G57" s="10" t="s">
        <v>15</v>
      </c>
    </row>
    <row r="58" spans="1:7" ht="14.25">
      <c r="A58" s="8" t="s">
        <v>40</v>
      </c>
      <c r="B58" s="3">
        <v>0.97</v>
      </c>
      <c r="E58" s="8" t="s">
        <v>25</v>
      </c>
      <c r="F58" s="9">
        <f>B52*(1-0.09*POWER((F35/D36),0.75)*POWER(G46,2))</f>
        <v>2303518.1225173562</v>
      </c>
      <c r="G58" s="10" t="s">
        <v>15</v>
      </c>
    </row>
    <row r="59" spans="1:7">
      <c r="E59" s="8"/>
      <c r="F59" s="9"/>
      <c r="G59" s="10"/>
    </row>
    <row r="60" spans="1:7" ht="15">
      <c r="B60" s="26" t="s">
        <v>108</v>
      </c>
      <c r="C60" s="27">
        <f>F58-B47*B113*B44</f>
        <v>2248271.482941288</v>
      </c>
      <c r="D60" s="25" t="s">
        <v>15</v>
      </c>
      <c r="E60" s="8"/>
      <c r="F60" s="9"/>
      <c r="G60" s="10"/>
    </row>
    <row r="61" spans="1:7" s="15" customFormat="1" ht="13.5" thickBot="1"/>
    <row r="62" spans="1:7">
      <c r="B62" s="10" t="s">
        <v>28</v>
      </c>
    </row>
    <row r="63" spans="1:7" ht="15.75">
      <c r="B63" s="2" t="s">
        <v>26</v>
      </c>
      <c r="C63" s="6">
        <f>IF(F39&lt;0.16,2.24,4.5*POWER(F39,0.38))</f>
        <v>3.4171996102899405</v>
      </c>
      <c r="E63" s="8" t="s">
        <v>29</v>
      </c>
      <c r="F63" s="9">
        <f>D35*E44*C63/(2-D42)</f>
        <v>2094049.4232618397</v>
      </c>
      <c r="G63" s="10" t="s">
        <v>15</v>
      </c>
    </row>
    <row r="64" spans="1:7" ht="14.25">
      <c r="B64" s="8" t="s">
        <v>143</v>
      </c>
      <c r="C64" s="31">
        <f>F65-F64</f>
        <v>907300.97159981122</v>
      </c>
      <c r="D64" s="10" t="s">
        <v>15</v>
      </c>
      <c r="E64" s="8" t="s">
        <v>142</v>
      </c>
      <c r="F64" s="31">
        <f>F63*(1+0.15*SQRT(D37))</f>
        <v>2333206.7206097106</v>
      </c>
      <c r="G64" s="10" t="s">
        <v>15</v>
      </c>
    </row>
    <row r="65" spans="1:7" ht="14.25">
      <c r="B65" s="8"/>
      <c r="C65" s="31"/>
      <c r="D65" s="10"/>
      <c r="E65" s="8" t="s">
        <v>32</v>
      </c>
      <c r="F65" s="28">
        <f>F63*(1+0.15*SQRT(D37))*(1+0.52*POWER((F35-0.5*B36)*D39/(D36*POWER(F36,2)),0.4))</f>
        <v>3240507.6922095218</v>
      </c>
      <c r="G65" s="10" t="s">
        <v>15</v>
      </c>
    </row>
    <row r="66" spans="1:7">
      <c r="B66" s="10" t="s">
        <v>30</v>
      </c>
    </row>
    <row r="67" spans="1:7" ht="14.25">
      <c r="E67" s="8" t="s">
        <v>31</v>
      </c>
      <c r="F67" s="9">
        <f>F63-(0.21*F36*E44*(1-B37)/(0.75-D42))</f>
        <v>1977987.8909682618</v>
      </c>
      <c r="G67" s="10" t="s">
        <v>15</v>
      </c>
    </row>
    <row r="68" spans="1:7" ht="14.25">
      <c r="B68" s="8" t="s">
        <v>144</v>
      </c>
      <c r="C68" s="31">
        <f>F69-F68</f>
        <v>857014.31654498493</v>
      </c>
      <c r="D68" s="10" t="s">
        <v>15</v>
      </c>
      <c r="E68" s="8" t="s">
        <v>145</v>
      </c>
      <c r="F68" s="31">
        <f>F67*(1+0.15*SQRT(D37))</f>
        <v>2203890.0272482778</v>
      </c>
      <c r="G68" s="10" t="s">
        <v>15</v>
      </c>
    </row>
    <row r="69" spans="1:7" ht="14.25">
      <c r="B69" s="8"/>
      <c r="C69" s="31"/>
      <c r="D69" s="10"/>
      <c r="E69" s="8" t="s">
        <v>38</v>
      </c>
      <c r="F69" s="28">
        <f>F67*(1+0.15*SQRT(D37))*(1+0.52*POWER((F35-0.5*B36)*D39/(D36*POWER(F36,2)),0.4))</f>
        <v>3060904.3437932627</v>
      </c>
      <c r="G69" s="10" t="s">
        <v>15</v>
      </c>
    </row>
    <row r="71" spans="1:7">
      <c r="A71" s="13" t="s">
        <v>208</v>
      </c>
    </row>
    <row r="72" spans="1:7">
      <c r="A72" s="13" t="s">
        <v>209</v>
      </c>
    </row>
    <row r="73" spans="1:7" ht="14.25">
      <c r="B73" s="8" t="s">
        <v>31</v>
      </c>
      <c r="C73" s="3">
        <v>1.02</v>
      </c>
      <c r="D73" s="8" t="s">
        <v>38</v>
      </c>
      <c r="E73" s="3">
        <v>1</v>
      </c>
    </row>
    <row r="74" spans="1:7" ht="14.25">
      <c r="B74" s="8" t="s">
        <v>29</v>
      </c>
      <c r="C74" s="3">
        <v>1.05</v>
      </c>
      <c r="D74" s="8" t="s">
        <v>32</v>
      </c>
      <c r="E74" s="3">
        <v>1</v>
      </c>
    </row>
    <row r="75" spans="1:7">
      <c r="B75" s="10" t="s">
        <v>39</v>
      </c>
    </row>
    <row r="76" spans="1:7">
      <c r="G76" s="9"/>
    </row>
    <row r="77" spans="1:7" ht="14.25">
      <c r="B77" s="8" t="s">
        <v>31</v>
      </c>
      <c r="C77" s="9">
        <f>F67*C73</f>
        <v>2017547.648787627</v>
      </c>
      <c r="D77" s="10" t="s">
        <v>15</v>
      </c>
      <c r="E77" s="8" t="s">
        <v>38</v>
      </c>
      <c r="F77" s="9">
        <f>F69*E73</f>
        <v>3060904.3437932627</v>
      </c>
      <c r="G77" s="10" t="s">
        <v>15</v>
      </c>
    </row>
    <row r="78" spans="1:7" ht="14.25">
      <c r="B78" s="8" t="s">
        <v>29</v>
      </c>
      <c r="C78" s="9">
        <f>F63*C74</f>
        <v>2198751.8944249316</v>
      </c>
      <c r="D78" s="10" t="s">
        <v>15</v>
      </c>
      <c r="E78" s="8" t="s">
        <v>32</v>
      </c>
      <c r="F78" s="9">
        <f>F65*E74</f>
        <v>3240507.6922095218</v>
      </c>
      <c r="G78" s="10" t="s">
        <v>15</v>
      </c>
    </row>
    <row r="79" spans="1:7">
      <c r="B79" s="8"/>
      <c r="C79" s="9"/>
      <c r="D79" s="10"/>
      <c r="E79" s="8"/>
      <c r="F79" s="9"/>
      <c r="G79" s="10"/>
    </row>
    <row r="80" spans="1:7" ht="15">
      <c r="B80" s="8"/>
      <c r="C80" s="26" t="s">
        <v>110</v>
      </c>
      <c r="D80" s="27">
        <f>F77-B47*B121*B44</f>
        <v>3016414.7092254441</v>
      </c>
      <c r="E80" s="25" t="s">
        <v>15</v>
      </c>
      <c r="F80" s="9"/>
      <c r="G80" s="10"/>
    </row>
    <row r="81" spans="1:7" ht="15">
      <c r="B81" s="8"/>
      <c r="C81" s="26" t="s">
        <v>109</v>
      </c>
      <c r="D81" s="27">
        <f>F78-B47*B122*B44</f>
        <v>3184361.7961419928</v>
      </c>
      <c r="E81" s="25" t="s">
        <v>15</v>
      </c>
      <c r="F81" s="9"/>
      <c r="G81" s="10"/>
    </row>
    <row r="82" spans="1:7" ht="13.5" thickBot="1">
      <c r="A82" s="15"/>
      <c r="B82" s="15"/>
      <c r="C82" s="15"/>
      <c r="D82" s="15"/>
      <c r="E82" s="15"/>
      <c r="F82" s="15"/>
      <c r="G82" s="15"/>
    </row>
    <row r="83" spans="1:7">
      <c r="B83" s="10" t="s">
        <v>43</v>
      </c>
    </row>
    <row r="85" spans="1:7" ht="14.25">
      <c r="B85" s="8" t="s">
        <v>44</v>
      </c>
      <c r="C85" s="9">
        <f>(E44/(1-D42))*POWER(B40,0.75)*POWER(B38,0.25)*(2.4+0.5*B37)</f>
        <v>17855443.415100165</v>
      </c>
      <c r="D85" s="10" t="s">
        <v>15</v>
      </c>
      <c r="E85" s="8" t="s">
        <v>49</v>
      </c>
      <c r="F85" s="9">
        <f>C85*(1+1.26*F37*(1+F37*POWER(F38,0.2)*POWER(B37,0.5)))</f>
        <v>36161132.297625162</v>
      </c>
      <c r="G85" s="10" t="s">
        <v>15</v>
      </c>
    </row>
    <row r="86" spans="1:7" ht="14.25">
      <c r="B86" s="8" t="s">
        <v>48</v>
      </c>
      <c r="C86" s="9">
        <f>(3*E44/(1-D42))*POWER(E40,0.75)*POWER(B38,0.15)</f>
        <v>55888872.111432128</v>
      </c>
      <c r="D86" s="10" t="s">
        <v>15</v>
      </c>
      <c r="E86" s="8" t="s">
        <v>50</v>
      </c>
      <c r="F86" s="9">
        <f>C86*(1+0.92*POWER(D38,0.6)*(1.5+POWER(D38,1.9)*POWER(F38,0.6)))</f>
        <v>94046502.291651711</v>
      </c>
      <c r="G86" s="10" t="s">
        <v>15</v>
      </c>
    </row>
    <row r="87" spans="1:7">
      <c r="B87" s="13" t="s">
        <v>54</v>
      </c>
    </row>
    <row r="88" spans="1:7" ht="14.25">
      <c r="B88" s="8" t="s">
        <v>44</v>
      </c>
      <c r="C88" s="6">
        <f>1-0.2*G46</f>
        <v>0.92545628951562142</v>
      </c>
      <c r="E88" s="8" t="s">
        <v>111</v>
      </c>
      <c r="F88" s="28">
        <f>F85*C88</f>
        <v>33465547.320843682</v>
      </c>
      <c r="G88" s="10" t="s">
        <v>15</v>
      </c>
    </row>
    <row r="89" spans="1:7" ht="14.25">
      <c r="B89" s="8" t="s">
        <v>48</v>
      </c>
      <c r="C89" s="6">
        <f>1-0.3*G46</f>
        <v>0.88818443427343208</v>
      </c>
      <c r="E89" s="8" t="s">
        <v>50</v>
      </c>
      <c r="F89" s="28">
        <f>F86*C89</f>
        <v>83530639.433305711</v>
      </c>
      <c r="G89" s="10" t="s">
        <v>15</v>
      </c>
    </row>
    <row r="90" spans="1:7">
      <c r="B90" s="8"/>
      <c r="F90" s="28"/>
      <c r="G90" s="10"/>
    </row>
    <row r="91" spans="1:7" ht="15">
      <c r="B91" s="8"/>
      <c r="C91" s="26" t="s">
        <v>112</v>
      </c>
      <c r="D91" s="27">
        <f>F88-B47*B129*B44</f>
        <v>33343914.06910269</v>
      </c>
      <c r="E91" s="25" t="s">
        <v>15</v>
      </c>
      <c r="F91" s="28"/>
      <c r="G91" s="10"/>
    </row>
    <row r="92" spans="1:7" ht="15">
      <c r="B92" s="8"/>
      <c r="C92" s="26" t="s">
        <v>113</v>
      </c>
      <c r="D92" s="27">
        <f>F89-B47*B130*B44</f>
        <v>83125021.070220038</v>
      </c>
      <c r="E92" s="25" t="s">
        <v>15</v>
      </c>
      <c r="F92" s="28"/>
      <c r="G92" s="10"/>
    </row>
    <row r="93" spans="1:7" ht="13.5" thickBot="1">
      <c r="A93" s="15"/>
      <c r="B93" s="15"/>
      <c r="C93" s="15"/>
      <c r="D93" s="15"/>
      <c r="E93" s="15"/>
      <c r="F93" s="15"/>
      <c r="G93" s="15"/>
    </row>
    <row r="94" spans="1:7">
      <c r="B94" s="17" t="s">
        <v>55</v>
      </c>
    </row>
    <row r="96" spans="1:7" ht="14.25">
      <c r="A96" s="8" t="s">
        <v>56</v>
      </c>
      <c r="B96" s="9">
        <f>E44*POWER(B41,0.75)*(3.8+10.7*POWER((1-B37),10))</f>
        <v>56000377.856406718</v>
      </c>
      <c r="C96" s="10" t="s">
        <v>15</v>
      </c>
      <c r="E96" s="8" t="s">
        <v>57</v>
      </c>
      <c r="F96" s="9">
        <f>B96*(1+(1.3+1.32*B37)*POWER(D37,0.9))</f>
        <v>122500064.57428397</v>
      </c>
      <c r="G96" s="10" t="s">
        <v>15</v>
      </c>
    </row>
    <row r="98" spans="1:7">
      <c r="A98" s="13" t="s">
        <v>58</v>
      </c>
    </row>
    <row r="99" spans="1:7">
      <c r="A99" s="14" t="s">
        <v>59</v>
      </c>
      <c r="B99" s="6">
        <f>0.33-0.13*SQRT(B38-1)</f>
        <v>0.19594196043871709</v>
      </c>
    </row>
    <row r="100" spans="1:7" ht="14.25">
      <c r="A100" s="14" t="s">
        <v>60</v>
      </c>
      <c r="B100" s="6">
        <f>0.8/(1+0.33*(B38-1))</f>
        <v>0.59218731142132996</v>
      </c>
      <c r="C100" s="8" t="s">
        <v>61</v>
      </c>
      <c r="D100" s="6">
        <f>1-B99*POWER(G46,2)/(B100+POWER(G46,2))</f>
        <v>0.96276864292617936</v>
      </c>
      <c r="E100" s="14"/>
      <c r="F100" s="6"/>
    </row>
    <row r="101" spans="1:7">
      <c r="E101" s="14"/>
      <c r="F101" s="6"/>
    </row>
    <row r="102" spans="1:7" ht="14.25">
      <c r="B102" s="13" t="s">
        <v>62</v>
      </c>
      <c r="E102" s="8" t="s">
        <v>57</v>
      </c>
      <c r="F102" s="28">
        <f>D100*F96</f>
        <v>117939220.92855272</v>
      </c>
      <c r="G102" s="10" t="s">
        <v>15</v>
      </c>
    </row>
    <row r="103" spans="1:7">
      <c r="B103" s="13"/>
      <c r="E103" s="8"/>
      <c r="F103" s="28"/>
      <c r="G103" s="10"/>
    </row>
    <row r="104" spans="1:7" ht="15">
      <c r="D104" s="26" t="s">
        <v>114</v>
      </c>
      <c r="E104" s="27">
        <f>F102-B47*B138*B44</f>
        <v>117697272.82730708</v>
      </c>
      <c r="F104" s="25" t="s">
        <v>15</v>
      </c>
      <c r="G104" s="10"/>
    </row>
    <row r="105" spans="1:7" ht="13.5" thickBot="1">
      <c r="A105" s="15"/>
      <c r="B105" s="15"/>
      <c r="C105" s="15"/>
      <c r="D105" s="15"/>
      <c r="E105" s="15"/>
      <c r="F105" s="15"/>
      <c r="G105" s="15"/>
    </row>
    <row r="107" spans="1:7" ht="15.75" customHeight="1">
      <c r="A107" s="12" t="s">
        <v>63</v>
      </c>
    </row>
    <row r="108" spans="1:7">
      <c r="A108" s="10" t="s">
        <v>69</v>
      </c>
    </row>
    <row r="109" spans="1:7" ht="14.25">
      <c r="B109" s="8" t="s">
        <v>65</v>
      </c>
      <c r="C109" s="6">
        <f>3.4*F42/(PI()*(1-D42))</f>
        <v>995.67332398289727</v>
      </c>
      <c r="D109" s="13" t="s">
        <v>9</v>
      </c>
    </row>
    <row r="110" spans="1:7">
      <c r="A110" s="13" t="s">
        <v>66</v>
      </c>
      <c r="D110" s="18">
        <v>1</v>
      </c>
      <c r="F110" s="13"/>
    </row>
    <row r="111" spans="1:7" ht="14.25">
      <c r="B111" s="8" t="s">
        <v>64</v>
      </c>
      <c r="C111" s="9">
        <f>E43*C109*B39*D110</f>
        <v>12379.764866705103</v>
      </c>
      <c r="D111" t="s">
        <v>68</v>
      </c>
    </row>
    <row r="112" spans="1:7">
      <c r="A112" s="13" t="s">
        <v>77</v>
      </c>
    </row>
    <row r="113" spans="1:7" ht="15">
      <c r="A113" s="8" t="s">
        <v>67</v>
      </c>
      <c r="B113" s="9">
        <f>(F146*C111+E43*F42*D39*F145)*F147</f>
        <v>19763.48792480908</v>
      </c>
      <c r="C113" t="s">
        <v>68</v>
      </c>
      <c r="E113" s="26" t="s">
        <v>115</v>
      </c>
      <c r="F113" s="27">
        <f>B113+2*F58*B44/B47</f>
        <v>21246.763564864639</v>
      </c>
      <c r="G113" s="25" t="s">
        <v>68</v>
      </c>
    </row>
    <row r="114" spans="1:7" ht="13.5" thickBot="1">
      <c r="A114" s="15"/>
      <c r="B114" s="15"/>
      <c r="C114" s="15"/>
      <c r="D114" s="15"/>
      <c r="E114" s="15"/>
      <c r="F114" s="15"/>
      <c r="G114" s="15"/>
    </row>
    <row r="115" spans="1:7">
      <c r="A115" s="10" t="s">
        <v>70</v>
      </c>
    </row>
    <row r="117" spans="1:7" ht="14.25">
      <c r="A117" s="8" t="s">
        <v>71</v>
      </c>
      <c r="B117" s="9">
        <f>E43*F42*B39*G117</f>
        <v>7463.8665820183469</v>
      </c>
      <c r="C117" t="s">
        <v>68</v>
      </c>
      <c r="D117" s="13" t="s">
        <v>72</v>
      </c>
      <c r="G117" s="18">
        <v>0.87</v>
      </c>
    </row>
    <row r="118" spans="1:7" ht="14.25">
      <c r="A118" s="8" t="s">
        <v>73</v>
      </c>
      <c r="B118" s="9">
        <f>E43*F42*B39*G118</f>
        <v>8750.7401306421998</v>
      </c>
      <c r="C118" t="s">
        <v>68</v>
      </c>
      <c r="D118" s="13" t="s">
        <v>74</v>
      </c>
      <c r="G118" s="18">
        <v>1.02</v>
      </c>
    </row>
    <row r="119" spans="1:7">
      <c r="A119" s="13" t="s">
        <v>83</v>
      </c>
    </row>
    <row r="120" spans="1:7">
      <c r="A120" s="13"/>
    </row>
    <row r="121" spans="1:7" ht="15">
      <c r="A121" s="8" t="s">
        <v>75</v>
      </c>
      <c r="B121" s="9">
        <f>(G117+D37*POWER((B36/F35),0.2)*(1+C109*B37/F42))*E43*F42*B39*F145*F146*F147</f>
        <v>15915.363582423828</v>
      </c>
      <c r="C121" t="s">
        <v>68</v>
      </c>
      <c r="D121" s="26" t="s">
        <v>116</v>
      </c>
      <c r="E121" s="27">
        <f>B121+2*F77*B44/B47</f>
        <v>17886.333467708326</v>
      </c>
      <c r="F121" s="25" t="s">
        <v>68</v>
      </c>
    </row>
    <row r="122" spans="1:7" ht="15">
      <c r="A122" s="8" t="s">
        <v>76</v>
      </c>
      <c r="B122" s="9">
        <f>(G118+D37*POWER((B36/F35),0.35)*C109/F42+B37)*E43*F42*B39*F145*F146*F147</f>
        <v>20085.180700092307</v>
      </c>
      <c r="C122" t="s">
        <v>68</v>
      </c>
      <c r="D122" s="26" t="s">
        <v>117</v>
      </c>
      <c r="E122" s="27">
        <f>B122+2*F78*B44/B47</f>
        <v>22171.800325213502</v>
      </c>
      <c r="F122" s="25" t="s">
        <v>68</v>
      </c>
    </row>
    <row r="123" spans="1:7" ht="13.5" thickBot="1">
      <c r="A123" s="15"/>
      <c r="B123" s="15"/>
      <c r="C123" s="15"/>
      <c r="D123" s="15"/>
      <c r="E123" s="15"/>
      <c r="F123" s="15"/>
      <c r="G123" s="15"/>
    </row>
    <row r="124" spans="1:7">
      <c r="B124" s="17" t="s">
        <v>78</v>
      </c>
    </row>
    <row r="126" spans="1:7" ht="14.25">
      <c r="A126" s="8" t="s">
        <v>81</v>
      </c>
      <c r="B126" s="9">
        <f>E43*C109*B40*G126</f>
        <v>4086.5108634398875</v>
      </c>
      <c r="C126" t="s">
        <v>68</v>
      </c>
      <c r="D126" s="13" t="s">
        <v>80</v>
      </c>
      <c r="G126" s="18">
        <v>0.13</v>
      </c>
    </row>
    <row r="127" spans="1:7" ht="14.25">
      <c r="A127" s="8" t="s">
        <v>82</v>
      </c>
      <c r="B127" s="9">
        <f>E43*C109*E40*G127</f>
        <v>33459.435284664025</v>
      </c>
      <c r="C127" t="s">
        <v>68</v>
      </c>
      <c r="D127" s="13" t="s">
        <v>264</v>
      </c>
      <c r="G127" s="18">
        <v>0.25</v>
      </c>
    </row>
    <row r="128" spans="1:7">
      <c r="A128" s="13" t="s">
        <v>83</v>
      </c>
    </row>
    <row r="129" spans="1:7" ht="14.25">
      <c r="A129" s="8" t="s">
        <v>84</v>
      </c>
      <c r="B129" s="9">
        <f>E43*C109*B40*E129*E130*F145*F146*F147</f>
        <v>43512.099930141507</v>
      </c>
      <c r="C129" t="s">
        <v>68</v>
      </c>
      <c r="D129" s="8" t="s">
        <v>86</v>
      </c>
      <c r="E129" s="6">
        <f>G126+(0.25+0.65*POWER((G46*POWER((B36/F35),-G46)*POWER(D37,-0.5)),0.5))</f>
        <v>0.83477976911886631</v>
      </c>
      <c r="F129" s="8" t="s">
        <v>88</v>
      </c>
      <c r="G129" s="6">
        <f>G127+0.25+(0.65*POWER((G46*POWER((B36/F35),-G46)*POWER(D37,-0.5)*POWER(B38,0.5)),0.5))</f>
        <v>1.0450637482841085</v>
      </c>
    </row>
    <row r="130" spans="1:7" ht="14.25">
      <c r="A130" s="8" t="s">
        <v>85</v>
      </c>
      <c r="B130" s="9">
        <f>E43*C109*E40*G129*G130*F145*F146*F147</f>
        <v>145102.64664852445</v>
      </c>
      <c r="C130" t="s">
        <v>68</v>
      </c>
      <c r="D130" s="8" t="s">
        <v>87</v>
      </c>
      <c r="E130" s="6">
        <f>POWER(F37,3)+2.77*(1-D42)*F37+0.92*(1-D42)*(D38+POWER(B36,3)/(F36*D36*D36))</f>
        <v>1.6581691173687783</v>
      </c>
      <c r="F130" s="8" t="s">
        <v>89</v>
      </c>
      <c r="G130" s="6">
        <f>POWER(D38,3)+2.77*(1-D42)*D38+0.92*(1-D42)*(F37+POWER(B36,3)/(D36*F36*F36))</f>
        <v>1.0374184151015677</v>
      </c>
    </row>
    <row r="131" spans="1:7">
      <c r="B131" s="8"/>
      <c r="C131" s="9"/>
    </row>
    <row r="132" spans="1:7" ht="15">
      <c r="B132" s="8"/>
      <c r="C132" s="9"/>
      <c r="D132" s="26" t="s">
        <v>118</v>
      </c>
      <c r="E132" s="27">
        <f>B129+2*F88*B44/B47</f>
        <v>65061.151633666821</v>
      </c>
      <c r="F132" s="25" t="s">
        <v>68</v>
      </c>
    </row>
    <row r="133" spans="1:7" ht="15">
      <c r="B133" s="8"/>
      <c r="C133" s="9"/>
      <c r="D133" s="26" t="s">
        <v>119</v>
      </c>
      <c r="E133" s="27">
        <f>B130+2*F89*B44/B47</f>
        <v>198889.48750666634</v>
      </c>
      <c r="F133" s="25" t="s">
        <v>68</v>
      </c>
      <c r="G133" s="27"/>
    </row>
    <row r="134" spans="1:7" ht="13.5" thickBot="1">
      <c r="A134" s="15"/>
      <c r="B134" s="15"/>
      <c r="C134" s="15"/>
      <c r="D134" s="15"/>
      <c r="E134" s="15"/>
      <c r="F134" s="15"/>
      <c r="G134" s="15"/>
    </row>
    <row r="135" spans="1:7">
      <c r="A135" s="17" t="s">
        <v>90</v>
      </c>
    </row>
    <row r="137" spans="1:7" ht="14.25">
      <c r="A137" s="8" t="s">
        <v>92</v>
      </c>
      <c r="B137" s="9">
        <f>E43*F42*B41*G137</f>
        <v>22906.706630379202</v>
      </c>
      <c r="C137" t="s">
        <v>68</v>
      </c>
      <c r="D137" s="13" t="s">
        <v>91</v>
      </c>
      <c r="G137" s="18">
        <v>0.2</v>
      </c>
    </row>
    <row r="138" spans="1:7" ht="14.25">
      <c r="A138" s="8" t="s">
        <v>93</v>
      </c>
      <c r="B138" s="9">
        <f>(E43*F42*B41*(G137+(G138*F37*(3/F139+D139*POWER(B38,2)/F139+3*F36/(D36*F139))+D139*D36/(F36*F139))))*F145*F146*F147</f>
        <v>86552.565261729236</v>
      </c>
      <c r="C138" t="s">
        <v>68</v>
      </c>
      <c r="D138" s="13" t="s">
        <v>94</v>
      </c>
      <c r="G138" s="18">
        <v>0.25</v>
      </c>
    </row>
    <row r="139" spans="1:7">
      <c r="C139" s="14" t="s">
        <v>95</v>
      </c>
      <c r="D139" s="6">
        <f>3.4/(PI()*(1-D42))</f>
        <v>1.4430048173665178</v>
      </c>
      <c r="E139" s="14" t="s">
        <v>96</v>
      </c>
      <c r="F139" s="6">
        <f>1+POWER(B38,2)</f>
        <v>5.2576434835118686</v>
      </c>
    </row>
    <row r="140" spans="1:7" ht="14.25">
      <c r="E140" s="14" t="s">
        <v>146</v>
      </c>
      <c r="F140" s="6">
        <f>G46*POWER(B38,0.6)*POWER(F37,0.1)</f>
        <v>0.5450707642706204</v>
      </c>
      <c r="G140" s="6"/>
    </row>
    <row r="141" spans="1:7" ht="15">
      <c r="B141" s="26" t="s">
        <v>120</v>
      </c>
      <c r="C141" s="27">
        <f>B138+2*F102*B44/B47</f>
        <v>162495.69403524083</v>
      </c>
      <c r="D141" s="25" t="s">
        <v>68</v>
      </c>
    </row>
    <row r="142" spans="1:7" ht="13.5" thickBot="1">
      <c r="A142" s="15"/>
      <c r="B142" s="15"/>
      <c r="C142" s="15"/>
      <c r="D142" s="15"/>
      <c r="E142" s="15"/>
      <c r="F142" s="15"/>
      <c r="G142" s="15"/>
    </row>
    <row r="143" spans="1:7">
      <c r="A143" s="10" t="s">
        <v>100</v>
      </c>
    </row>
    <row r="145" spans="1:7">
      <c r="A145" s="13" t="s">
        <v>140</v>
      </c>
      <c r="E145" s="13" t="s">
        <v>103</v>
      </c>
      <c r="F145" s="18">
        <v>1</v>
      </c>
    </row>
    <row r="146" spans="1:7">
      <c r="A146" s="13" t="s">
        <v>104</v>
      </c>
      <c r="E146" s="13" t="s">
        <v>105</v>
      </c>
      <c r="F146" s="18">
        <v>1</v>
      </c>
    </row>
    <row r="147" spans="1:7">
      <c r="A147" s="13" t="s">
        <v>102</v>
      </c>
      <c r="E147" s="13" t="s">
        <v>101</v>
      </c>
      <c r="F147" s="20">
        <f>IF(D45&lt;B46,0,1)</f>
        <v>1</v>
      </c>
    </row>
    <row r="148" spans="1:7" ht="13.5" thickBot="1">
      <c r="A148" s="15"/>
      <c r="B148" s="15"/>
      <c r="C148" s="15"/>
      <c r="D148" s="15"/>
      <c r="E148" s="15"/>
      <c r="F148" s="15"/>
      <c r="G148" s="15"/>
    </row>
    <row r="150" spans="1:7">
      <c r="A150" s="10" t="s">
        <v>131</v>
      </c>
    </row>
    <row r="152" spans="1:7">
      <c r="A152" s="13" t="s">
        <v>121</v>
      </c>
    </row>
    <row r="154" spans="1:7">
      <c r="A154" s="29" t="s">
        <v>122</v>
      </c>
      <c r="B154" s="29" t="s">
        <v>123</v>
      </c>
      <c r="C154" s="29" t="s">
        <v>124</v>
      </c>
    </row>
    <row r="155" spans="1:7" ht="15.75">
      <c r="B155" s="29" t="s">
        <v>125</v>
      </c>
      <c r="C155" s="29" t="s">
        <v>125</v>
      </c>
      <c r="D155" s="14" t="s">
        <v>130</v>
      </c>
      <c r="E155" s="32">
        <f>(B158+B156)/2</f>
        <v>5.6950000000000003</v>
      </c>
      <c r="F155" s="14" t="s">
        <v>132</v>
      </c>
      <c r="G155" s="32">
        <f>(C158+C156)/2</f>
        <v>2.76</v>
      </c>
    </row>
    <row r="156" spans="1:7" ht="15.75">
      <c r="A156" s="19">
        <v>1</v>
      </c>
      <c r="B156" s="19">
        <v>0</v>
      </c>
      <c r="C156" s="19">
        <v>0</v>
      </c>
      <c r="D156" s="14" t="s">
        <v>126</v>
      </c>
      <c r="E156" s="32">
        <f>(B156+B157)/2</f>
        <v>0</v>
      </c>
      <c r="F156" s="14" t="s">
        <v>150</v>
      </c>
      <c r="G156" s="33">
        <f>(C156+C157)/2</f>
        <v>2.76</v>
      </c>
    </row>
    <row r="157" spans="1:7" ht="15.75">
      <c r="A157" s="19">
        <v>2</v>
      </c>
      <c r="B157" s="19">
        <v>0</v>
      </c>
      <c r="C157" s="19">
        <f>B35</f>
        <v>5.52</v>
      </c>
      <c r="D157" s="14" t="s">
        <v>127</v>
      </c>
      <c r="E157" s="32">
        <f>(B157+B158)/2</f>
        <v>5.6950000000000003</v>
      </c>
      <c r="F157" s="14" t="s">
        <v>151</v>
      </c>
      <c r="G157" s="32">
        <f>(C157+C158)/2</f>
        <v>5.52</v>
      </c>
    </row>
    <row r="158" spans="1:7" ht="15.75">
      <c r="A158" s="19">
        <v>3</v>
      </c>
      <c r="B158" s="19">
        <f>D35</f>
        <v>11.39</v>
      </c>
      <c r="C158" s="19">
        <f>C157</f>
        <v>5.52</v>
      </c>
      <c r="D158" s="14" t="s">
        <v>128</v>
      </c>
      <c r="E158" s="32">
        <f>(B158+B159)/2</f>
        <v>11.39</v>
      </c>
      <c r="F158" s="14" t="s">
        <v>152</v>
      </c>
      <c r="G158" s="32">
        <f>(C158+C159)/2</f>
        <v>2.76</v>
      </c>
    </row>
    <row r="159" spans="1:7" ht="15.75">
      <c r="A159" s="19">
        <v>4</v>
      </c>
      <c r="B159" s="19">
        <f>B158</f>
        <v>11.39</v>
      </c>
      <c r="C159" s="19">
        <v>0</v>
      </c>
      <c r="D159" s="14" t="s">
        <v>129</v>
      </c>
      <c r="E159" s="32">
        <f>(B159+B156)/2</f>
        <v>5.6950000000000003</v>
      </c>
      <c r="F159" s="14" t="s">
        <v>153</v>
      </c>
      <c r="G159" s="32">
        <f>(C159+C160)/2</f>
        <v>0</v>
      </c>
    </row>
    <row r="160" spans="1:7">
      <c r="A160" s="19">
        <f>A156</f>
        <v>1</v>
      </c>
      <c r="B160" s="19">
        <f>B156</f>
        <v>0</v>
      </c>
      <c r="C160" s="19">
        <f>C156</f>
        <v>0</v>
      </c>
    </row>
    <row r="162" spans="1:6">
      <c r="A162" s="13" t="s">
        <v>136</v>
      </c>
    </row>
    <row r="163" spans="1:6" ht="15">
      <c r="A163" s="8" t="s">
        <v>137</v>
      </c>
      <c r="B163" s="30">
        <f>(C157-C156)*B36</f>
        <v>8.831999999999999</v>
      </c>
    </row>
    <row r="164" spans="1:6" ht="15">
      <c r="A164" s="8" t="s">
        <v>138</v>
      </c>
      <c r="B164" s="30">
        <f>(B158-B157)*B36</f>
        <v>18.224</v>
      </c>
    </row>
    <row r="165" spans="1:6" ht="15">
      <c r="A165" s="8" t="s">
        <v>139</v>
      </c>
      <c r="B165" s="30">
        <f>(C158-C159)*B36</f>
        <v>8.831999999999999</v>
      </c>
    </row>
    <row r="166" spans="1:6" ht="15">
      <c r="A166" s="8" t="s">
        <v>164</v>
      </c>
      <c r="B166" s="30">
        <f>(B159-B160)*B36</f>
        <v>18.224</v>
      </c>
      <c r="C166" t="str">
        <f>IF(SUM(B163:B166)=D39,"…ok","Checar datos")</f>
        <v>…ok</v>
      </c>
    </row>
    <row r="168" spans="1:6">
      <c r="A168" s="11" t="s">
        <v>154</v>
      </c>
    </row>
    <row r="169" spans="1:6" ht="15">
      <c r="B169" s="8" t="s">
        <v>147</v>
      </c>
      <c r="C169" s="34">
        <f>B163*B56</f>
        <v>2961.8032617658641</v>
      </c>
    </row>
    <row r="170" spans="1:6" ht="15">
      <c r="B170" s="8" t="s">
        <v>155</v>
      </c>
      <c r="C170" s="34">
        <f>B164*B56</f>
        <v>6111.4020202016654</v>
      </c>
      <c r="E170" s="8" t="s">
        <v>148</v>
      </c>
      <c r="F170" s="32">
        <f>(C169*E156+C170*E157+C171*E158+C172*E159+B54*E155)/B53</f>
        <v>5.6950000000000003</v>
      </c>
    </row>
    <row r="171" spans="1:6" ht="15">
      <c r="B171" s="8" t="s">
        <v>156</v>
      </c>
      <c r="C171" s="34">
        <f>B165*B56</f>
        <v>2961.8032617658641</v>
      </c>
      <c r="E171" s="8" t="s">
        <v>149</v>
      </c>
      <c r="F171" s="32">
        <f>(C169*G156+C170*G157+C171*G158+C172*G159+B54*G155)/B53</f>
        <v>2.76</v>
      </c>
    </row>
    <row r="172" spans="1:6" ht="15">
      <c r="B172" s="8" t="s">
        <v>157</v>
      </c>
      <c r="C172" s="34">
        <f>B166*B56</f>
        <v>6111.4020202016654</v>
      </c>
      <c r="D172" t="str">
        <f>IF(SUM(C169:C172)=B55,"…ok","Checa los datos")</f>
        <v>…ok</v>
      </c>
    </row>
    <row r="191" spans="1:3">
      <c r="A191" s="11" t="s">
        <v>158</v>
      </c>
    </row>
    <row r="192" spans="1:3" ht="14.25">
      <c r="A192" s="8" t="s">
        <v>163</v>
      </c>
      <c r="B192" s="1">
        <f>C64/D39</f>
        <v>16767.093650203489</v>
      </c>
      <c r="C192" s="13" t="s">
        <v>135</v>
      </c>
    </row>
    <row r="193" spans="1:6" ht="15">
      <c r="A193" s="8" t="s">
        <v>159</v>
      </c>
      <c r="B193" s="1">
        <f>B192*B163</f>
        <v>148086.9711185972</v>
      </c>
      <c r="C193" s="13" t="s">
        <v>135</v>
      </c>
    </row>
    <row r="194" spans="1:6" ht="15">
      <c r="A194" s="8" t="s">
        <v>160</v>
      </c>
      <c r="B194" s="1">
        <f>B192*B164</f>
        <v>305563.51468130841</v>
      </c>
      <c r="C194" s="13" t="s">
        <v>135</v>
      </c>
      <c r="D194" s="8" t="s">
        <v>165</v>
      </c>
      <c r="E194" s="32">
        <f>(B193*G156+B194*G157+B195*G158+B196*G159+F64*G155)/F65</f>
        <v>2.7600000000000002</v>
      </c>
    </row>
    <row r="195" spans="1:6" ht="15">
      <c r="A195" s="8" t="s">
        <v>161</v>
      </c>
      <c r="B195" s="1">
        <f>B192*B165</f>
        <v>148086.9711185972</v>
      </c>
      <c r="C195" s="13" t="s">
        <v>135</v>
      </c>
      <c r="D195" s="8" t="s">
        <v>175</v>
      </c>
      <c r="E195" s="32">
        <f>(B193*E199+B194*E200+B195*E201+B196*E202+F64*C198)/F65</f>
        <v>-0.8</v>
      </c>
    </row>
    <row r="196" spans="1:6" ht="15">
      <c r="A196" s="8" t="s">
        <v>162</v>
      </c>
      <c r="B196" s="1">
        <f>B192*B166</f>
        <v>305563.51468130841</v>
      </c>
      <c r="C196" s="13" t="s">
        <v>135</v>
      </c>
      <c r="D196" t="str">
        <f>IF(SUM(B193:B196)=C64,"…ok","Checa los datos")</f>
        <v>…ok</v>
      </c>
    </row>
    <row r="198" spans="1:6" ht="15.75">
      <c r="B198" s="14" t="s">
        <v>166</v>
      </c>
      <c r="C198" s="32">
        <f>-B36/2</f>
        <v>-0.8</v>
      </c>
    </row>
    <row r="199" spans="1:6" ht="15.75">
      <c r="B199" s="14" t="s">
        <v>171</v>
      </c>
      <c r="C199" s="35">
        <v>0</v>
      </c>
      <c r="D199" s="14" t="s">
        <v>167</v>
      </c>
      <c r="E199" s="32">
        <f>(C199-$B$36)/2</f>
        <v>-0.8</v>
      </c>
    </row>
    <row r="200" spans="1:6" ht="15.75">
      <c r="B200" s="14" t="s">
        <v>172</v>
      </c>
      <c r="C200" s="35">
        <v>0</v>
      </c>
      <c r="D200" s="14" t="s">
        <v>168</v>
      </c>
      <c r="E200" s="32">
        <f>(C200-$B$36)/2</f>
        <v>-0.8</v>
      </c>
    </row>
    <row r="201" spans="1:6" ht="15.75">
      <c r="B201" s="14" t="s">
        <v>173</v>
      </c>
      <c r="C201" s="35">
        <v>0</v>
      </c>
      <c r="D201" s="14" t="s">
        <v>169</v>
      </c>
      <c r="E201" s="32">
        <f>(C201-$B$36)/2</f>
        <v>-0.8</v>
      </c>
    </row>
    <row r="202" spans="1:6" ht="15.75">
      <c r="B202" s="14" t="s">
        <v>174</v>
      </c>
      <c r="C202" s="35">
        <v>0</v>
      </c>
      <c r="D202" s="14" t="s">
        <v>170</v>
      </c>
      <c r="E202" s="32">
        <f>(C202-$B$36)/2</f>
        <v>-0.8</v>
      </c>
    </row>
    <row r="203" spans="1:6">
      <c r="E203" s="32"/>
    </row>
    <row r="204" spans="1:6">
      <c r="A204" s="11" t="s">
        <v>176</v>
      </c>
    </row>
    <row r="205" spans="1:6" ht="14.25">
      <c r="B205" s="8" t="s">
        <v>177</v>
      </c>
      <c r="C205" s="1">
        <f>C68/D39</f>
        <v>15837.786748687628</v>
      </c>
      <c r="D205" s="13" t="s">
        <v>135</v>
      </c>
    </row>
    <row r="206" spans="1:6" ht="15">
      <c r="B206" s="8" t="s">
        <v>178</v>
      </c>
      <c r="C206" s="1">
        <f>C205*B163</f>
        <v>139879.33256440912</v>
      </c>
      <c r="D206" s="13" t="s">
        <v>135</v>
      </c>
    </row>
    <row r="207" spans="1:6" ht="15">
      <c r="B207" s="8" t="s">
        <v>179</v>
      </c>
      <c r="C207" s="1">
        <f>C205*B164</f>
        <v>288627.82570808334</v>
      </c>
      <c r="D207" s="13" t="s">
        <v>135</v>
      </c>
      <c r="E207" s="8" t="s">
        <v>182</v>
      </c>
      <c r="F207" s="32">
        <f>(C206*E156+C207*E157+C208*E158+C209*E159+F68*E155)/F69</f>
        <v>5.6950000000000012</v>
      </c>
    </row>
    <row r="208" spans="1:6" ht="15">
      <c r="B208" s="8" t="s">
        <v>180</v>
      </c>
      <c r="C208" s="1">
        <f>C205*B165</f>
        <v>139879.33256440912</v>
      </c>
      <c r="D208" s="13" t="s">
        <v>135</v>
      </c>
      <c r="E208" s="8" t="s">
        <v>239</v>
      </c>
      <c r="F208" s="32">
        <f>(C206*E199+C207*E200+C208*E201+C209*E202+F68*C198)/F69</f>
        <v>-0.8</v>
      </c>
    </row>
    <row r="209" spans="1:6" ht="15">
      <c r="B209" s="8" t="s">
        <v>181</v>
      </c>
      <c r="C209" s="1">
        <f>C205*B166</f>
        <v>288627.82570808334</v>
      </c>
      <c r="D209" s="13" t="s">
        <v>135</v>
      </c>
      <c r="E209" t="str">
        <f>IF(SUM(C206:C209)=C68,"…ok","Checa los datos")</f>
        <v>…ok</v>
      </c>
    </row>
    <row r="211" spans="1:6">
      <c r="A211" t="s">
        <v>183</v>
      </c>
    </row>
    <row r="213" spans="1:6">
      <c r="A213" t="s">
        <v>184</v>
      </c>
    </row>
    <row r="214" spans="1:6">
      <c r="A214" t="s">
        <v>192</v>
      </c>
      <c r="B214" s="19" t="s">
        <v>191</v>
      </c>
      <c r="C214" s="19" t="s">
        <v>194</v>
      </c>
      <c r="D214" s="19" t="s">
        <v>195</v>
      </c>
    </row>
    <row r="215" spans="1:6">
      <c r="A215" t="s">
        <v>193</v>
      </c>
      <c r="B215" s="42">
        <v>2.36</v>
      </c>
      <c r="C215" s="42">
        <v>4.07</v>
      </c>
      <c r="D215" s="42">
        <v>2.44</v>
      </c>
    </row>
    <row r="216" spans="1:6">
      <c r="A216" t="s">
        <v>190</v>
      </c>
      <c r="B216" s="36">
        <f>B35</f>
        <v>5.52</v>
      </c>
      <c r="C216" s="42">
        <v>1.1200000000000001</v>
      </c>
      <c r="D216" s="42">
        <v>2.44</v>
      </c>
    </row>
    <row r="218" spans="1:6">
      <c r="A218" s="37" t="s">
        <v>185</v>
      </c>
      <c r="B218" s="37" t="s">
        <v>186</v>
      </c>
      <c r="C218" s="37" t="s">
        <v>123</v>
      </c>
      <c r="D218" s="37" t="s">
        <v>124</v>
      </c>
      <c r="E218" s="37" t="s">
        <v>187</v>
      </c>
      <c r="F218" s="37" t="s">
        <v>188</v>
      </c>
    </row>
    <row r="219" spans="1:6">
      <c r="A219" s="37" t="s">
        <v>189</v>
      </c>
      <c r="B219" s="4">
        <f>B39*E41</f>
        <v>119.45831999999999</v>
      </c>
      <c r="C219" s="36">
        <f>F170</f>
        <v>5.6950000000000003</v>
      </c>
      <c r="D219" s="36">
        <f>F171</f>
        <v>2.76</v>
      </c>
      <c r="E219" s="1">
        <f>B219*2.4*C219</f>
        <v>1632.7563177599998</v>
      </c>
      <c r="F219" s="1">
        <f>B219*2.4*D219</f>
        <v>791.29191167999977</v>
      </c>
    </row>
    <row r="220" spans="1:6">
      <c r="A220" s="10" t="s">
        <v>193</v>
      </c>
      <c r="B220" s="4">
        <f>B215*C215*D215</f>
        <v>23.436688</v>
      </c>
      <c r="C220" s="36">
        <f>C215/2</f>
        <v>2.0350000000000001</v>
      </c>
      <c r="D220" s="36">
        <f>D219</f>
        <v>2.76</v>
      </c>
      <c r="E220" s="1">
        <f>B220*2.4*C220</f>
        <v>114.46478419200001</v>
      </c>
      <c r="F220" s="1">
        <f>B220*2.4*D220</f>
        <v>155.24462131199999</v>
      </c>
    </row>
    <row r="221" spans="1:6">
      <c r="A221" s="10" t="s">
        <v>190</v>
      </c>
      <c r="B221" s="4">
        <f>B216*C216*D216</f>
        <v>15.085056</v>
      </c>
      <c r="C221" s="36">
        <f>E158-C216/2</f>
        <v>10.83</v>
      </c>
      <c r="D221" s="36">
        <f>D220</f>
        <v>2.76</v>
      </c>
      <c r="E221" s="1">
        <f>B221*2.4*C221</f>
        <v>392.09077555200003</v>
      </c>
      <c r="F221" s="1">
        <f>B221*2.4*D221</f>
        <v>99.923410943999997</v>
      </c>
    </row>
    <row r="222" spans="1:6">
      <c r="A222" s="10" t="s">
        <v>201</v>
      </c>
      <c r="B222" s="45">
        <v>15.5</v>
      </c>
      <c r="C222" s="36">
        <f>C220</f>
        <v>2.0350000000000001</v>
      </c>
      <c r="D222" s="36">
        <f>D220</f>
        <v>2.76</v>
      </c>
      <c r="E222" s="1">
        <f>B222*C222</f>
        <v>31.542500000000004</v>
      </c>
      <c r="F222" s="1">
        <f>B222*D222</f>
        <v>42.779999999999994</v>
      </c>
    </row>
    <row r="223" spans="1:6">
      <c r="A223" s="10" t="s">
        <v>200</v>
      </c>
      <c r="B223" s="45">
        <v>22</v>
      </c>
      <c r="C223" s="36">
        <f>C219</f>
        <v>5.6950000000000003</v>
      </c>
      <c r="D223" s="36">
        <f>D219</f>
        <v>2.76</v>
      </c>
      <c r="E223" s="1">
        <f>B223*C223</f>
        <v>125.29</v>
      </c>
      <c r="F223" s="1">
        <f>B223*D223</f>
        <v>60.72</v>
      </c>
    </row>
    <row r="224" spans="1:6">
      <c r="A224" s="10" t="s">
        <v>199</v>
      </c>
      <c r="B224" s="45">
        <v>21.25</v>
      </c>
      <c r="C224" s="36">
        <f>C223</f>
        <v>5.6950000000000003</v>
      </c>
      <c r="D224" s="36">
        <f>D223</f>
        <v>2.76</v>
      </c>
      <c r="E224" s="1">
        <f>B224*C224</f>
        <v>121.01875000000001</v>
      </c>
      <c r="F224" s="1">
        <f>B224*D224</f>
        <v>58.65</v>
      </c>
    </row>
    <row r="225" spans="1:6">
      <c r="A225" s="29" t="s">
        <v>196</v>
      </c>
      <c r="B225" s="4">
        <f>SUM(B219:B221)*2.4+SUM(B222:B224)</f>
        <v>437.90215359999996</v>
      </c>
      <c r="C225" s="19"/>
      <c r="D225" s="19"/>
      <c r="E225" s="1">
        <f>SUM(E219:E224)</f>
        <v>2417.1631275039999</v>
      </c>
      <c r="F225" s="1">
        <f>SUM(F219:F224)</f>
        <v>1208.6099439359998</v>
      </c>
    </row>
    <row r="227" spans="1:6">
      <c r="A227" s="10" t="s">
        <v>202</v>
      </c>
      <c r="D227" s="14" t="s">
        <v>197</v>
      </c>
      <c r="E227" s="36">
        <f>E225/B225</f>
        <v>5.5198703811627023</v>
      </c>
    </row>
    <row r="228" spans="1:6">
      <c r="D228" s="14" t="s">
        <v>198</v>
      </c>
      <c r="E228" s="36">
        <f>F225/B225</f>
        <v>2.76</v>
      </c>
    </row>
    <row r="230" spans="1:6">
      <c r="A230" s="13" t="s">
        <v>220</v>
      </c>
      <c r="C230" s="36">
        <f>E155-E227</f>
        <v>0.17512961883729794</v>
      </c>
    </row>
    <row r="231" spans="1:6">
      <c r="A231" s="13" t="s">
        <v>221</v>
      </c>
      <c r="C231" s="36">
        <f>G155-E228</f>
        <v>0</v>
      </c>
    </row>
    <row r="232" spans="1:6">
      <c r="A232" s="13" t="s">
        <v>206</v>
      </c>
      <c r="C232" s="14" t="s">
        <v>203</v>
      </c>
      <c r="D232" s="38">
        <f>B225*ABS(E228-G155)</f>
        <v>0</v>
      </c>
      <c r="E232" s="13" t="s">
        <v>205</v>
      </c>
    </row>
    <row r="233" spans="1:6">
      <c r="C233" s="14" t="s">
        <v>204</v>
      </c>
      <c r="D233" s="38">
        <f>B225*C230</f>
        <v>76.689637247999883</v>
      </c>
      <c r="E233" s="13" t="s">
        <v>205</v>
      </c>
    </row>
    <row r="234" spans="1:6">
      <c r="A234" s="13" t="s">
        <v>207</v>
      </c>
    </row>
    <row r="235" spans="1:6" ht="14.25">
      <c r="C235" s="8" t="s">
        <v>210</v>
      </c>
      <c r="D235" s="9">
        <f>(B225/B39)+D232*D36/B40</f>
        <v>6.9648902800575128</v>
      </c>
      <c r="E235" s="10" t="s">
        <v>11</v>
      </c>
    </row>
    <row r="236" spans="1:6" ht="14.25">
      <c r="C236" s="8" t="s">
        <v>211</v>
      </c>
      <c r="D236" s="9">
        <f>(B225/B39)+D233*F36/E40</f>
        <v>7.6074321132392901</v>
      </c>
      <c r="E236" s="10" t="s">
        <v>11</v>
      </c>
    </row>
    <row r="238" spans="1:6">
      <c r="A238" s="10" t="s">
        <v>212</v>
      </c>
    </row>
    <row r="240" spans="1:6" ht="15.75">
      <c r="A240" s="13" t="s">
        <v>216</v>
      </c>
      <c r="C240" s="14" t="s">
        <v>217</v>
      </c>
      <c r="D240">
        <f>C241*B242*POWER(B47,2)</f>
        <v>0.3613199469049877</v>
      </c>
    </row>
    <row r="241" spans="1:4">
      <c r="A241" s="13" t="s">
        <v>213</v>
      </c>
      <c r="B241" s="43">
        <v>1</v>
      </c>
      <c r="C241">
        <f>B241*28.7/1000/1000</f>
        <v>2.87E-5</v>
      </c>
      <c r="D241" s="13" t="s">
        <v>214</v>
      </c>
    </row>
    <row r="242" spans="1:4">
      <c r="A242" s="13" t="s">
        <v>215</v>
      </c>
      <c r="B242" s="42">
        <v>1.45</v>
      </c>
    </row>
    <row r="244" spans="1:4">
      <c r="A244" s="13" t="s">
        <v>218</v>
      </c>
    </row>
    <row r="246" spans="1:4">
      <c r="A246" s="29" t="s">
        <v>219</v>
      </c>
      <c r="B246" s="29" t="s">
        <v>255</v>
      </c>
      <c r="C246" s="29" t="s">
        <v>256</v>
      </c>
      <c r="D246" s="29" t="s">
        <v>259</v>
      </c>
    </row>
    <row r="247" spans="1:4">
      <c r="A247">
        <v>0</v>
      </c>
      <c r="B247" s="47">
        <f t="shared" ref="B247:B267" si="0">$D$240*COS(-$B$47*A247)</f>
        <v>0.3613199469049877</v>
      </c>
      <c r="C247" s="47">
        <f t="shared" ref="C247:C267" si="1">$D$240*SIN(-$B$47*A247)</f>
        <v>0</v>
      </c>
      <c r="D247" s="47">
        <f>SQRT(POWER(B247,2)+POWER(C247,2))</f>
        <v>0.3613199469049877</v>
      </c>
    </row>
    <row r="248" spans="1:4">
      <c r="A248">
        <v>1</v>
      </c>
      <c r="B248" s="47">
        <f t="shared" si="0"/>
        <v>0.17406721194771191</v>
      </c>
      <c r="C248" s="47">
        <f t="shared" si="1"/>
        <v>0.31662708310593629</v>
      </c>
      <c r="D248" s="47">
        <f t="shared" ref="D248:D267" si="2">SQRT(POWER(B248,2)+POWER(C248,2))</f>
        <v>0.3613199469049877</v>
      </c>
    </row>
    <row r="249" spans="1:4">
      <c r="A249">
        <v>2</v>
      </c>
      <c r="B249" s="47">
        <f t="shared" si="0"/>
        <v>-0.1936049091120858</v>
      </c>
      <c r="C249" s="47">
        <f t="shared" si="1"/>
        <v>0.30507252121278328</v>
      </c>
      <c r="D249" s="47">
        <f t="shared" si="2"/>
        <v>0.3613199469049877</v>
      </c>
    </row>
    <row r="250" spans="1:4">
      <c r="A250">
        <v>3</v>
      </c>
      <c r="B250" s="47">
        <f t="shared" si="0"/>
        <v>-0.36060696452546109</v>
      </c>
      <c r="C250" s="47">
        <f t="shared" si="1"/>
        <v>-2.2687467182477033E-2</v>
      </c>
      <c r="D250" s="47">
        <f t="shared" si="2"/>
        <v>0.3613199469049877</v>
      </c>
    </row>
    <row r="251" spans="1:4">
      <c r="A251">
        <v>4</v>
      </c>
      <c r="B251" s="47">
        <f t="shared" si="0"/>
        <v>-0.15384255102152453</v>
      </c>
      <c r="C251" s="47">
        <f t="shared" si="1"/>
        <v>-0.32693206255522378</v>
      </c>
      <c r="D251" s="47">
        <f t="shared" si="2"/>
        <v>0.3613199469049877</v>
      </c>
    </row>
    <row r="252" spans="1:4">
      <c r="A252">
        <v>5</v>
      </c>
      <c r="B252" s="47">
        <f t="shared" si="0"/>
        <v>0.21237853614986327</v>
      </c>
      <c r="C252" s="47">
        <f t="shared" si="1"/>
        <v>-0.29231397745277998</v>
      </c>
      <c r="D252" s="47">
        <f t="shared" si="2"/>
        <v>0.3613199469049877</v>
      </c>
    </row>
    <row r="253" spans="1:4">
      <c r="A253">
        <v>6</v>
      </c>
      <c r="B253" s="47">
        <f t="shared" si="0"/>
        <v>0.35847083120260265</v>
      </c>
      <c r="C253" s="47">
        <f t="shared" si="1"/>
        <v>4.5285397296902577E-2</v>
      </c>
      <c r="D253" s="47">
        <f t="shared" si="2"/>
        <v>0.3613199469049877</v>
      </c>
    </row>
    <row r="254" spans="1:4">
      <c r="A254">
        <v>7</v>
      </c>
      <c r="B254" s="47">
        <f t="shared" si="0"/>
        <v>0.13301074383043077</v>
      </c>
      <c r="C254" s="47">
        <f t="shared" si="1"/>
        <v>0.3359467905146567</v>
      </c>
      <c r="D254" s="47">
        <f t="shared" si="2"/>
        <v>0.3613199469049877</v>
      </c>
    </row>
    <row r="255" spans="1:4">
      <c r="A255">
        <v>8</v>
      </c>
      <c r="B255" s="47">
        <f t="shared" si="0"/>
        <v>-0.23031400213198036</v>
      </c>
      <c r="C255" s="47">
        <f t="shared" si="1"/>
        <v>0.27840180396932285</v>
      </c>
      <c r="D255" s="47">
        <f t="shared" si="2"/>
        <v>0.3613199469049877</v>
      </c>
    </row>
    <row r="256" spans="1:4">
      <c r="A256">
        <v>9</v>
      </c>
      <c r="B256" s="47">
        <f t="shared" si="0"/>
        <v>-0.35491997727873109</v>
      </c>
      <c r="C256" s="47">
        <f t="shared" si="1"/>
        <v>-6.7704606637127185E-2</v>
      </c>
      <c r="D256" s="47">
        <f t="shared" si="2"/>
        <v>0.3613199469049877</v>
      </c>
    </row>
    <row r="257" spans="1:7">
      <c r="A257">
        <v>10</v>
      </c>
      <c r="B257" s="47">
        <f t="shared" si="0"/>
        <v>-0.11165400400026654</v>
      </c>
      <c r="C257" s="47">
        <f t="shared" si="1"/>
        <v>-0.34363568997141669</v>
      </c>
      <c r="D257" s="47">
        <f t="shared" si="2"/>
        <v>0.3613199469049877</v>
      </c>
    </row>
    <row r="258" spans="1:7">
      <c r="A258">
        <v>11</v>
      </c>
      <c r="B258" s="47">
        <f t="shared" si="0"/>
        <v>0.24734052396814071</v>
      </c>
      <c r="C258" s="47">
        <f t="shared" si="1"/>
        <v>-0.26339090575528373</v>
      </c>
      <c r="D258" s="47">
        <f t="shared" si="2"/>
        <v>0.3613199469049877</v>
      </c>
    </row>
    <row r="259" spans="1:7">
      <c r="A259">
        <v>12</v>
      </c>
      <c r="B259" s="47">
        <f t="shared" si="0"/>
        <v>0.34996841635205328</v>
      </c>
      <c r="C259" s="47">
        <f t="shared" si="1"/>
        <v>8.9856616826247376E-2</v>
      </c>
      <c r="D259" s="47">
        <f t="shared" si="2"/>
        <v>0.36131994690498775</v>
      </c>
    </row>
    <row r="260" spans="1:7">
      <c r="A260">
        <v>13</v>
      </c>
      <c r="B260" s="47">
        <f t="shared" si="0"/>
        <v>8.985661682617517E-2</v>
      </c>
      <c r="C260" s="47">
        <f t="shared" si="1"/>
        <v>0.34996841635207182</v>
      </c>
      <c r="D260" s="47">
        <f t="shared" si="2"/>
        <v>0.36131994690498775</v>
      </c>
    </row>
    <row r="261" spans="1:7">
      <c r="A261">
        <v>14</v>
      </c>
      <c r="B261" s="47">
        <f t="shared" si="0"/>
        <v>-0.26339090575533475</v>
      </c>
      <c r="C261" s="47">
        <f t="shared" si="1"/>
        <v>0.24734052396808634</v>
      </c>
      <c r="D261" s="47">
        <f t="shared" si="2"/>
        <v>0.3613199469049877</v>
      </c>
    </row>
    <row r="262" spans="1:7">
      <c r="A262">
        <v>15</v>
      </c>
      <c r="B262" s="47">
        <f t="shared" si="0"/>
        <v>-0.34363568997139365</v>
      </c>
      <c r="C262" s="47">
        <f t="shared" si="1"/>
        <v>-0.11165400400033741</v>
      </c>
      <c r="D262" s="47">
        <f t="shared" si="2"/>
        <v>0.3613199469049877</v>
      </c>
    </row>
    <row r="263" spans="1:7">
      <c r="A263">
        <v>16</v>
      </c>
      <c r="B263" s="47">
        <f t="shared" si="0"/>
        <v>-6.7704606637053952E-2</v>
      </c>
      <c r="C263" s="47">
        <f t="shared" si="1"/>
        <v>-0.35491997727874508</v>
      </c>
      <c r="D263" s="47">
        <f t="shared" si="2"/>
        <v>0.3613199469049877</v>
      </c>
    </row>
    <row r="264" spans="1:7">
      <c r="A264">
        <v>17</v>
      </c>
      <c r="B264" s="47">
        <f t="shared" si="0"/>
        <v>0.27840180396937036</v>
      </c>
      <c r="C264" s="47">
        <f t="shared" si="1"/>
        <v>-0.23031400213192293</v>
      </c>
      <c r="D264" s="47">
        <f t="shared" si="2"/>
        <v>0.3613199469049877</v>
      </c>
    </row>
    <row r="265" spans="1:7">
      <c r="A265">
        <v>18</v>
      </c>
      <c r="B265" s="47">
        <f t="shared" si="0"/>
        <v>0.33594679051462928</v>
      </c>
      <c r="C265" s="47">
        <f t="shared" si="1"/>
        <v>0.1330107438305001</v>
      </c>
      <c r="D265" s="47">
        <f t="shared" si="2"/>
        <v>0.3613199469049877</v>
      </c>
    </row>
    <row r="266" spans="1:7">
      <c r="A266">
        <v>19</v>
      </c>
      <c r="B266" s="47">
        <f t="shared" si="0"/>
        <v>4.5285397296828629E-2</v>
      </c>
      <c r="C266" s="47">
        <f t="shared" si="1"/>
        <v>0.35847083120261197</v>
      </c>
      <c r="D266" s="47">
        <f t="shared" si="2"/>
        <v>0.3613199469049877</v>
      </c>
    </row>
    <row r="267" spans="1:7">
      <c r="A267">
        <v>20</v>
      </c>
      <c r="B267" s="47">
        <f t="shared" si="0"/>
        <v>-0.29231397745282378</v>
      </c>
      <c r="C267" s="47">
        <f t="shared" si="1"/>
        <v>0.21237853614980293</v>
      </c>
      <c r="D267" s="47">
        <f t="shared" si="2"/>
        <v>0.3613199469049877</v>
      </c>
    </row>
    <row r="268" spans="1:7">
      <c r="B268" s="47"/>
      <c r="C268" s="47"/>
      <c r="D268" s="47"/>
    </row>
    <row r="269" spans="1:7">
      <c r="A269" t="s">
        <v>243</v>
      </c>
    </row>
    <row r="271" spans="1:7">
      <c r="B271" s="47">
        <v>0</v>
      </c>
      <c r="C271" s="46"/>
      <c r="D271" s="46"/>
      <c r="E271" s="46"/>
      <c r="F271" s="46"/>
      <c r="G271" s="46"/>
    </row>
    <row r="272" spans="1:7">
      <c r="B272" s="47">
        <f>D240</f>
        <v>0.3613199469049877</v>
      </c>
      <c r="C272" s="46"/>
      <c r="D272" s="46"/>
      <c r="E272" s="46"/>
      <c r="F272" s="46"/>
      <c r="G272" s="46"/>
    </row>
    <row r="273" spans="1:7">
      <c r="A273" s="55" t="s">
        <v>262</v>
      </c>
      <c r="B273" s="47">
        <f>D240</f>
        <v>0.3613199469049877</v>
      </c>
      <c r="C273" s="46"/>
      <c r="D273" s="46"/>
      <c r="E273" s="46"/>
      <c r="F273" s="46"/>
      <c r="G273" s="46"/>
    </row>
    <row r="274" spans="1:7">
      <c r="A274" s="56"/>
      <c r="B274" s="47">
        <v>0</v>
      </c>
      <c r="C274" s="46"/>
      <c r="D274" s="46"/>
      <c r="E274" s="46"/>
      <c r="F274" s="46"/>
      <c r="G274" s="46"/>
    </row>
    <row r="275" spans="1:7">
      <c r="B275" s="47">
        <f>F271</f>
        <v>0</v>
      </c>
      <c r="C275" s="46"/>
      <c r="D275" s="46"/>
      <c r="E275" s="46"/>
      <c r="F275" s="46"/>
      <c r="G275" s="46"/>
    </row>
    <row r="276" spans="1:7">
      <c r="B276" s="47">
        <f>G271</f>
        <v>0</v>
      </c>
      <c r="C276" s="46"/>
      <c r="D276" s="46"/>
      <c r="E276" s="46"/>
      <c r="F276" s="46"/>
      <c r="G276" s="46"/>
    </row>
    <row r="278" spans="1:7">
      <c r="A278" t="s">
        <v>222</v>
      </c>
    </row>
    <row r="279" spans="1:7">
      <c r="A279" s="13" t="s">
        <v>231</v>
      </c>
    </row>
    <row r="280" spans="1:7">
      <c r="A280" s="29" t="s">
        <v>185</v>
      </c>
      <c r="B280" s="29" t="s">
        <v>223</v>
      </c>
      <c r="C280" s="29" t="s">
        <v>224</v>
      </c>
      <c r="D280" s="29" t="s">
        <v>225</v>
      </c>
      <c r="E280" s="29" t="s">
        <v>228</v>
      </c>
      <c r="F280" s="29" t="s">
        <v>226</v>
      </c>
    </row>
    <row r="281" spans="1:7">
      <c r="A281" s="29" t="s">
        <v>189</v>
      </c>
      <c r="B281" s="4">
        <f>B219*2.4/9.81</f>
        <v>29.225277064220176</v>
      </c>
      <c r="C281" s="6">
        <f>(POWER(B216,2)+POWER(E41,2))/12</f>
        <v>2.840033333333333</v>
      </c>
      <c r="D281" s="24">
        <v>0</v>
      </c>
      <c r="E281" s="1">
        <f>B281*D281</f>
        <v>0</v>
      </c>
      <c r="F281" s="1">
        <f>C281*B281+E281</f>
        <v>83.000761038287436</v>
      </c>
    </row>
    <row r="282" spans="1:7">
      <c r="A282" s="13" t="s">
        <v>199</v>
      </c>
      <c r="B282" s="4">
        <f>B224/9.81</f>
        <v>2.1661569826707439</v>
      </c>
      <c r="C282" s="6">
        <f>106.25/9.81</f>
        <v>10.830784913353719</v>
      </c>
      <c r="D282" s="6">
        <v>5.33</v>
      </c>
      <c r="E282" s="1">
        <f t="shared" ref="E282" si="3">B282*D282</f>
        <v>11.545616717635065</v>
      </c>
      <c r="F282" s="1">
        <f>C282+E282</f>
        <v>22.376401630988784</v>
      </c>
    </row>
    <row r="283" spans="1:7">
      <c r="A283" s="29" t="s">
        <v>196</v>
      </c>
      <c r="B283" s="4">
        <f>SUM(B281:B282)</f>
        <v>31.391434046890922</v>
      </c>
      <c r="C283" s="6"/>
      <c r="D283" s="19"/>
      <c r="E283" s="44" t="s">
        <v>230</v>
      </c>
      <c r="F283" s="1">
        <f>SUM(F281:F282)</f>
        <v>105.37716266927622</v>
      </c>
      <c r="G283" s="13" t="s">
        <v>229</v>
      </c>
    </row>
    <row r="285" spans="1:7">
      <c r="A285" s="13" t="s">
        <v>232</v>
      </c>
    </row>
    <row r="286" spans="1:7">
      <c r="A286" s="29" t="s">
        <v>185</v>
      </c>
      <c r="B286" s="29" t="s">
        <v>223</v>
      </c>
      <c r="C286" s="29" t="s">
        <v>224</v>
      </c>
      <c r="D286" s="29" t="s">
        <v>225</v>
      </c>
      <c r="E286" s="29" t="s">
        <v>228</v>
      </c>
      <c r="F286" s="29" t="s">
        <v>226</v>
      </c>
    </row>
    <row r="287" spans="1:7">
      <c r="A287" s="29" t="s">
        <v>189</v>
      </c>
      <c r="B287" s="4">
        <f>B281</f>
        <v>29.225277064220176</v>
      </c>
      <c r="C287" s="6">
        <f>(POWER(D35,2)+POWER(E41,2))/12</f>
        <v>11.111841666666669</v>
      </c>
      <c r="D287" s="24">
        <v>0</v>
      </c>
      <c r="E287" s="1">
        <f>B287*D287</f>
        <v>0</v>
      </c>
      <c r="F287" s="1">
        <f>C287*B287+E287</f>
        <v>324.74665140207946</v>
      </c>
    </row>
    <row r="288" spans="1:7">
      <c r="A288" s="13" t="s">
        <v>199</v>
      </c>
      <c r="B288" s="4">
        <f t="shared" ref="B288" si="4">B282</f>
        <v>2.1661569826707439</v>
      </c>
      <c r="C288" s="6">
        <f>106.25/9.81</f>
        <v>10.830784913353719</v>
      </c>
      <c r="D288" s="6">
        <v>5.33</v>
      </c>
      <c r="E288" s="1">
        <f t="shared" ref="E288" si="5">B288*D288</f>
        <v>11.545616717635065</v>
      </c>
      <c r="F288" s="1">
        <f>C288+E288</f>
        <v>22.376401630988784</v>
      </c>
    </row>
    <row r="289" spans="1:7">
      <c r="A289" s="29" t="s">
        <v>196</v>
      </c>
      <c r="B289" s="4">
        <f>SUM(B287:B288)</f>
        <v>31.391434046890922</v>
      </c>
      <c r="C289" s="6"/>
      <c r="D289" s="19"/>
      <c r="E289" s="44" t="s">
        <v>230</v>
      </c>
      <c r="F289" s="1">
        <f>SUM(F287:F288)</f>
        <v>347.12305303306823</v>
      </c>
      <c r="G289" s="13" t="s">
        <v>229</v>
      </c>
    </row>
    <row r="290" spans="1:7">
      <c r="A290" s="29"/>
      <c r="B290" s="4"/>
      <c r="C290" s="6"/>
      <c r="D290" s="19"/>
      <c r="E290" s="44"/>
      <c r="F290" s="1"/>
      <c r="G290" s="13"/>
    </row>
    <row r="291" spans="1:7">
      <c r="A291" s="29"/>
      <c r="B291" s="4"/>
      <c r="C291" s="6"/>
      <c r="D291" s="19"/>
      <c r="E291" s="44"/>
      <c r="F291" s="1"/>
      <c r="G291" s="13"/>
    </row>
    <row r="292" spans="1:7">
      <c r="A292" s="13" t="s">
        <v>233</v>
      </c>
    </row>
    <row r="293" spans="1:7">
      <c r="A293" s="29" t="s">
        <v>185</v>
      </c>
      <c r="B293" s="29" t="s">
        <v>223</v>
      </c>
      <c r="C293" s="29" t="s">
        <v>224</v>
      </c>
      <c r="D293" s="29" t="s">
        <v>225</v>
      </c>
      <c r="E293" s="29" t="s">
        <v>228</v>
      </c>
      <c r="F293" s="29" t="s">
        <v>226</v>
      </c>
    </row>
    <row r="294" spans="1:7">
      <c r="A294" s="29" t="s">
        <v>189</v>
      </c>
      <c r="B294" s="4">
        <f>B287</f>
        <v>29.225277064220176</v>
      </c>
      <c r="C294" s="6">
        <f>(POWER(D35,2)+POWER(B35,2))/12</f>
        <v>13.350208333333333</v>
      </c>
      <c r="D294" s="24">
        <v>0</v>
      </c>
      <c r="E294" s="1">
        <f>B294*D294</f>
        <v>0</v>
      </c>
      <c r="F294" s="1">
        <f>C294*B294+E294</f>
        <v>390.1635374067277</v>
      </c>
    </row>
    <row r="295" spans="1:7">
      <c r="A295" s="29" t="s">
        <v>196</v>
      </c>
      <c r="B295" s="4">
        <f>SUM(B294:B294)</f>
        <v>29.225277064220176</v>
      </c>
      <c r="C295" s="6"/>
      <c r="D295" s="19"/>
      <c r="E295" s="44" t="s">
        <v>230</v>
      </c>
      <c r="F295" s="1">
        <f>SUM(F294:F294)</f>
        <v>390.1635374067277</v>
      </c>
      <c r="G295" s="13" t="s">
        <v>229</v>
      </c>
    </row>
    <row r="296" spans="1:7">
      <c r="A296" s="29"/>
      <c r="B296" s="4"/>
      <c r="C296" s="6"/>
      <c r="D296" s="19"/>
      <c r="E296" s="44"/>
      <c r="F296" s="1"/>
      <c r="G296" s="13"/>
    </row>
    <row r="297" spans="1:7">
      <c r="A297" s="13" t="s">
        <v>235</v>
      </c>
      <c r="C297" s="4">
        <f>B283+(B220+B221)*2.4/9.81</f>
        <v>40.815713924566765</v>
      </c>
      <c r="D297" s="13" t="s">
        <v>236</v>
      </c>
    </row>
    <row r="298" spans="1:7">
      <c r="A298" s="13" t="s">
        <v>234</v>
      </c>
      <c r="C298" s="4"/>
      <c r="D298" s="13"/>
      <c r="E298" s="13"/>
    </row>
    <row r="300" spans="1:7">
      <c r="B300" s="4">
        <f>C297</f>
        <v>40.815713924566765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</row>
    <row r="301" spans="1:7">
      <c r="B301" s="19">
        <v>0</v>
      </c>
      <c r="C301" s="4">
        <f>C297</f>
        <v>40.815713924566765</v>
      </c>
      <c r="D301" s="19">
        <v>0</v>
      </c>
      <c r="E301" s="19">
        <v>0</v>
      </c>
      <c r="F301" s="19">
        <v>0</v>
      </c>
      <c r="G301" s="19">
        <v>0</v>
      </c>
    </row>
    <row r="302" spans="1:7">
      <c r="A302" s="55" t="s">
        <v>237</v>
      </c>
      <c r="B302" s="19">
        <v>0</v>
      </c>
      <c r="C302" s="19">
        <v>0</v>
      </c>
      <c r="D302" s="4">
        <f>C297</f>
        <v>40.815713924566765</v>
      </c>
      <c r="E302" s="19">
        <v>0</v>
      </c>
      <c r="F302" s="19">
        <v>0</v>
      </c>
      <c r="G302" s="19">
        <v>0</v>
      </c>
    </row>
    <row r="303" spans="1:7">
      <c r="A303" s="56"/>
      <c r="B303" s="19">
        <v>0</v>
      </c>
      <c r="C303" s="19">
        <v>0</v>
      </c>
      <c r="D303" s="19">
        <v>0</v>
      </c>
      <c r="E303" s="4">
        <f>F283</f>
        <v>105.37716266927622</v>
      </c>
      <c r="F303" s="19">
        <v>0</v>
      </c>
      <c r="G303" s="19">
        <v>0</v>
      </c>
    </row>
    <row r="304" spans="1:7">
      <c r="B304" s="19">
        <v>0</v>
      </c>
      <c r="C304" s="19">
        <v>0</v>
      </c>
      <c r="D304" s="19">
        <v>0</v>
      </c>
      <c r="E304" s="19">
        <v>0</v>
      </c>
      <c r="F304" s="4">
        <f>F289</f>
        <v>347.12305303306823</v>
      </c>
      <c r="G304" s="19">
        <v>0</v>
      </c>
    </row>
    <row r="305" spans="1:7">
      <c r="B305" s="19">
        <v>0</v>
      </c>
      <c r="C305" s="19">
        <v>0</v>
      </c>
      <c r="D305" s="19">
        <v>0</v>
      </c>
      <c r="E305" s="19">
        <v>0</v>
      </c>
      <c r="F305" s="19">
        <v>0</v>
      </c>
      <c r="G305" s="6">
        <f>B41</f>
        <v>839.36497850000001</v>
      </c>
    </row>
    <row r="307" spans="1:7">
      <c r="A307" s="13" t="s">
        <v>238</v>
      </c>
    </row>
    <row r="309" spans="1:7">
      <c r="B309" s="46">
        <f>D80</f>
        <v>3016414.7092254441</v>
      </c>
      <c r="C309" s="46">
        <v>0</v>
      </c>
      <c r="D309" s="46">
        <v>0</v>
      </c>
      <c r="E309" s="46">
        <v>0</v>
      </c>
      <c r="F309" s="46">
        <f>D80*E195</f>
        <v>-2413131.7673803554</v>
      </c>
      <c r="G309" s="46">
        <f>-D80*E194</f>
        <v>-8325304.5974622266</v>
      </c>
    </row>
    <row r="310" spans="1:7">
      <c r="B310" s="46">
        <v>0</v>
      </c>
      <c r="C310" s="46">
        <f>D81</f>
        <v>3184361.7961419928</v>
      </c>
      <c r="D310" s="46">
        <v>0</v>
      </c>
      <c r="E310" s="46">
        <f>-D81*F208</f>
        <v>2547489.4369135946</v>
      </c>
      <c r="F310" s="46">
        <v>0</v>
      </c>
      <c r="G310" s="46">
        <f>D81*F207</f>
        <v>18134940.429028653</v>
      </c>
    </row>
    <row r="311" spans="1:7">
      <c r="A311" s="55" t="s">
        <v>242</v>
      </c>
      <c r="B311" s="46">
        <v>0</v>
      </c>
      <c r="C311" s="46">
        <v>0</v>
      </c>
      <c r="D311" s="46">
        <f>C60</f>
        <v>2248271.482941288</v>
      </c>
      <c r="E311" s="46">
        <f>C60*F171</f>
        <v>6205229.2929179547</v>
      </c>
      <c r="F311" s="46">
        <f>-C60*F170</f>
        <v>-12803906.095350636</v>
      </c>
      <c r="G311" s="46">
        <v>0</v>
      </c>
    </row>
    <row r="312" spans="1:7">
      <c r="A312" s="56"/>
      <c r="B312" s="46">
        <v>0</v>
      </c>
      <c r="C312" s="46">
        <f>E310</f>
        <v>2547489.4369135946</v>
      </c>
      <c r="D312" s="46">
        <f>E311</f>
        <v>6205229.2929179547</v>
      </c>
      <c r="E312" s="46">
        <f>D91+D81*POWER(F208,2)+C60*POWER(F171,2)</f>
        <v>52508338.46708712</v>
      </c>
      <c r="F312" s="46">
        <f>C60*F170*F171</f>
        <v>35338780.823167756</v>
      </c>
      <c r="G312" s="46">
        <f>-D81*F207*F208</f>
        <v>14507952.343222924</v>
      </c>
    </row>
    <row r="313" spans="1:7">
      <c r="B313" s="46">
        <f>F309</f>
        <v>-2413131.7673803554</v>
      </c>
      <c r="C313" s="46">
        <v>0</v>
      </c>
      <c r="D313" s="46">
        <f>F311</f>
        <v>-12803906.095350636</v>
      </c>
      <c r="E313" s="46">
        <f>F312</f>
        <v>35338780.823167756</v>
      </c>
      <c r="F313" s="46">
        <f>D92+D80*POWER(E195,2)+C60*POWER(F170,2)</f>
        <v>157973771.69714618</v>
      </c>
      <c r="G313" s="46">
        <f>-D80*E194*E195</f>
        <v>6660243.6779697817</v>
      </c>
    </row>
    <row r="314" spans="1:7">
      <c r="B314" s="46">
        <f>G309</f>
        <v>-8325304.5974622266</v>
      </c>
      <c r="C314" s="46">
        <f>G310</f>
        <v>18134940.429028653</v>
      </c>
      <c r="D314" s="46">
        <v>0</v>
      </c>
      <c r="E314" s="46">
        <f>G312</f>
        <v>14507952.343222924</v>
      </c>
      <c r="F314" s="46">
        <f>G313</f>
        <v>6660243.6779697817</v>
      </c>
      <c r="G314" s="46">
        <f>E104+D80*POWER(E194,2)+D81*POWER(F207,2)</f>
        <v>243953599.25962102</v>
      </c>
    </row>
    <row r="316" spans="1:7">
      <c r="B316" s="46">
        <f>B300*POWER($B$47,2)</f>
        <v>354380.18954976881</v>
      </c>
      <c r="C316" s="46">
        <f t="shared" ref="C316:G316" si="6">C300*POWER($B$47,2)</f>
        <v>0</v>
      </c>
      <c r="D316" s="46">
        <f t="shared" si="6"/>
        <v>0</v>
      </c>
      <c r="E316" s="46">
        <f t="shared" si="6"/>
        <v>0</v>
      </c>
      <c r="F316" s="46">
        <f t="shared" si="6"/>
        <v>0</v>
      </c>
      <c r="G316" s="46">
        <f t="shared" si="6"/>
        <v>0</v>
      </c>
    </row>
    <row r="317" spans="1:7">
      <c r="B317" s="46">
        <f t="shared" ref="B317:G317" si="7">B301*POWER($B$47,2)</f>
        <v>0</v>
      </c>
      <c r="C317" s="46">
        <f t="shared" si="7"/>
        <v>354380.18954976881</v>
      </c>
      <c r="D317" s="46">
        <f t="shared" si="7"/>
        <v>0</v>
      </c>
      <c r="E317" s="46">
        <f t="shared" si="7"/>
        <v>0</v>
      </c>
      <c r="F317" s="46">
        <f t="shared" si="7"/>
        <v>0</v>
      </c>
      <c r="G317" s="46">
        <f t="shared" si="7"/>
        <v>0</v>
      </c>
    </row>
    <row r="318" spans="1:7">
      <c r="A318" s="55" t="s">
        <v>240</v>
      </c>
      <c r="B318" s="46">
        <f t="shared" ref="B318:G318" si="8">B302*POWER($B$47,2)</f>
        <v>0</v>
      </c>
      <c r="C318" s="46">
        <f t="shared" si="8"/>
        <v>0</v>
      </c>
      <c r="D318" s="46">
        <f t="shared" si="8"/>
        <v>354380.18954976881</v>
      </c>
      <c r="E318" s="46">
        <f t="shared" si="8"/>
        <v>0</v>
      </c>
      <c r="F318" s="46">
        <f t="shared" si="8"/>
        <v>0</v>
      </c>
      <c r="G318" s="46">
        <f t="shared" si="8"/>
        <v>0</v>
      </c>
    </row>
    <row r="319" spans="1:7">
      <c r="A319" s="56"/>
      <c r="B319" s="46">
        <f t="shared" ref="B319:G319" si="9">B303*POWER($B$47,2)</f>
        <v>0</v>
      </c>
      <c r="C319" s="46">
        <f t="shared" si="9"/>
        <v>0</v>
      </c>
      <c r="D319" s="46">
        <f t="shared" si="9"/>
        <v>0</v>
      </c>
      <c r="E319" s="46">
        <f t="shared" si="9"/>
        <v>914931.41465003323</v>
      </c>
      <c r="F319" s="46">
        <f t="shared" si="9"/>
        <v>0</v>
      </c>
      <c r="G319" s="46">
        <f t="shared" si="9"/>
        <v>0</v>
      </c>
    </row>
    <row r="320" spans="1:7">
      <c r="B320" s="46">
        <f t="shared" ref="B320:G320" si="10">B304*POWER($B$47,2)</f>
        <v>0</v>
      </c>
      <c r="C320" s="46">
        <f t="shared" si="10"/>
        <v>0</v>
      </c>
      <c r="D320" s="46">
        <f t="shared" si="10"/>
        <v>0</v>
      </c>
      <c r="E320" s="46">
        <f t="shared" si="10"/>
        <v>0</v>
      </c>
      <c r="F320" s="46">
        <f t="shared" si="10"/>
        <v>3013876.8014275008</v>
      </c>
      <c r="G320" s="46">
        <f t="shared" si="10"/>
        <v>0</v>
      </c>
    </row>
    <row r="321" spans="1:7">
      <c r="B321" s="46">
        <f t="shared" ref="B321:G321" si="11">B305*POWER($B$47,2)</f>
        <v>0</v>
      </c>
      <c r="C321" s="46">
        <f t="shared" si="11"/>
        <v>0</v>
      </c>
      <c r="D321" s="46">
        <f t="shared" si="11"/>
        <v>0</v>
      </c>
      <c r="E321" s="46">
        <f t="shared" si="11"/>
        <v>0</v>
      </c>
      <c r="F321" s="46">
        <f t="shared" si="11"/>
        <v>0</v>
      </c>
      <c r="G321" s="46">
        <f t="shared" si="11"/>
        <v>7287740.2250516908</v>
      </c>
    </row>
    <row r="323" spans="1:7">
      <c r="B323" s="46">
        <f t="shared" ref="B323:G328" si="12">B309-B316</f>
        <v>2662034.5196756753</v>
      </c>
      <c r="C323" s="46">
        <f t="shared" si="12"/>
        <v>0</v>
      </c>
      <c r="D323" s="46">
        <f t="shared" si="12"/>
        <v>0</v>
      </c>
      <c r="E323" s="46">
        <f t="shared" si="12"/>
        <v>0</v>
      </c>
      <c r="F323" s="46">
        <f t="shared" si="12"/>
        <v>-2413131.7673803554</v>
      </c>
      <c r="G323" s="46">
        <f t="shared" si="12"/>
        <v>-8325304.5974622266</v>
      </c>
    </row>
    <row r="324" spans="1:7">
      <c r="B324" s="46">
        <f t="shared" si="12"/>
        <v>0</v>
      </c>
      <c r="C324" s="46">
        <f t="shared" si="12"/>
        <v>2829981.606592224</v>
      </c>
      <c r="D324" s="46">
        <f t="shared" si="12"/>
        <v>0</v>
      </c>
      <c r="E324" s="46">
        <f t="shared" si="12"/>
        <v>2547489.4369135946</v>
      </c>
      <c r="F324" s="46">
        <f t="shared" si="12"/>
        <v>0</v>
      </c>
      <c r="G324" s="46">
        <f t="shared" si="12"/>
        <v>18134940.429028653</v>
      </c>
    </row>
    <row r="325" spans="1:7">
      <c r="A325" s="55" t="s">
        <v>241</v>
      </c>
      <c r="B325" s="46">
        <f t="shared" si="12"/>
        <v>0</v>
      </c>
      <c r="C325" s="46">
        <f t="shared" si="12"/>
        <v>0</v>
      </c>
      <c r="D325" s="46">
        <f t="shared" si="12"/>
        <v>1893891.2933915192</v>
      </c>
      <c r="E325" s="46">
        <f t="shared" si="12"/>
        <v>6205229.2929179547</v>
      </c>
      <c r="F325" s="46">
        <f t="shared" si="12"/>
        <v>-12803906.095350636</v>
      </c>
      <c r="G325" s="46">
        <f t="shared" si="12"/>
        <v>0</v>
      </c>
    </row>
    <row r="326" spans="1:7">
      <c r="A326" s="56"/>
      <c r="B326" s="46">
        <f t="shared" si="12"/>
        <v>0</v>
      </c>
      <c r="C326" s="46">
        <f t="shared" si="12"/>
        <v>2547489.4369135946</v>
      </c>
      <c r="D326" s="46">
        <f t="shared" si="12"/>
        <v>6205229.2929179547</v>
      </c>
      <c r="E326" s="46">
        <f t="shared" si="12"/>
        <v>51593407.052437089</v>
      </c>
      <c r="F326" s="46">
        <f t="shared" si="12"/>
        <v>35338780.823167756</v>
      </c>
      <c r="G326" s="46">
        <f t="shared" si="12"/>
        <v>14507952.343222924</v>
      </c>
    </row>
    <row r="327" spans="1:7">
      <c r="B327" s="46">
        <f t="shared" si="12"/>
        <v>-2413131.7673803554</v>
      </c>
      <c r="C327" s="46">
        <f t="shared" si="12"/>
        <v>0</v>
      </c>
      <c r="D327" s="46">
        <f t="shared" si="12"/>
        <v>-12803906.095350636</v>
      </c>
      <c r="E327" s="46">
        <f t="shared" si="12"/>
        <v>35338780.823167756</v>
      </c>
      <c r="F327" s="46">
        <f t="shared" si="12"/>
        <v>154959894.89571866</v>
      </c>
      <c r="G327" s="46">
        <f t="shared" si="12"/>
        <v>6660243.6779697817</v>
      </c>
    </row>
    <row r="328" spans="1:7">
      <c r="B328" s="46">
        <f t="shared" si="12"/>
        <v>-8325304.5974622266</v>
      </c>
      <c r="C328" s="46">
        <f t="shared" si="12"/>
        <v>18134940.429028653</v>
      </c>
      <c r="D328" s="46">
        <f t="shared" si="12"/>
        <v>0</v>
      </c>
      <c r="E328" s="46">
        <f t="shared" si="12"/>
        <v>14507952.343222924</v>
      </c>
      <c r="F328" s="46">
        <f t="shared" si="12"/>
        <v>6660243.6779697817</v>
      </c>
      <c r="G328" s="46">
        <f t="shared" si="12"/>
        <v>236665859.03456932</v>
      </c>
    </row>
    <row r="329" spans="1:7">
      <c r="B329" s="4"/>
      <c r="C329" s="4"/>
      <c r="D329" s="4"/>
      <c r="E329" s="4"/>
      <c r="F329" s="4"/>
      <c r="G329" s="4"/>
    </row>
    <row r="330" spans="1:7">
      <c r="B330" s="51">
        <f t="array" ref="B330:G335">MINVERSE(B323:G328)</f>
        <v>4.7508123271061396E-7</v>
      </c>
      <c r="C330" s="51">
        <v>-2.2917052577916738E-7</v>
      </c>
      <c r="D330" s="51">
        <v>-9.2592788435289437E-8</v>
      </c>
      <c r="E330" s="51">
        <v>1.6849049204891516E-8</v>
      </c>
      <c r="F330" s="51">
        <v>-5.5302234831401184E-9</v>
      </c>
      <c r="G330" s="51">
        <v>3.3395510739433657E-8</v>
      </c>
    </row>
    <row r="331" spans="1:7">
      <c r="B331" s="51">
        <v>-2.2917052577916751E-7</v>
      </c>
      <c r="C331" s="51">
        <v>7.7350341575351912E-7</v>
      </c>
      <c r="D331" s="51">
        <v>-1.7991613598807298E-7</v>
      </c>
      <c r="E331" s="51">
        <v>1.556010067071095E-8</v>
      </c>
      <c r="F331" s="51">
        <v>-1.9071337230009657E-8</v>
      </c>
      <c r="G331" s="51">
        <v>-6.7749857581444157E-8</v>
      </c>
    </row>
    <row r="332" spans="1:7" ht="14.25">
      <c r="A332" s="29" t="s">
        <v>261</v>
      </c>
      <c r="B332" s="51">
        <v>-9.2592788435289476E-8</v>
      </c>
      <c r="C332" s="51">
        <v>-1.7991613598807301E-7</v>
      </c>
      <c r="D332" s="51">
        <v>-8.1739340291147426E-7</v>
      </c>
      <c r="E332" s="51">
        <v>1.8229473967802956E-7</v>
      </c>
      <c r="F332" s="51">
        <v>-1.1065947999800167E-7</v>
      </c>
      <c r="G332" s="51">
        <v>2.4684631314830203E-9</v>
      </c>
    </row>
    <row r="333" spans="1:7">
      <c r="B333" s="51">
        <v>1.6849049204891506E-8</v>
      </c>
      <c r="C333" s="51">
        <v>1.556010067071095E-8</v>
      </c>
      <c r="D333" s="51">
        <v>1.8229473967802958E-7</v>
      </c>
      <c r="E333" s="51">
        <v>-1.6323364734099739E-8</v>
      </c>
      <c r="F333" s="51">
        <v>1.9053263705898289E-8</v>
      </c>
      <c r="G333" s="51">
        <v>-1.3516446163256808E-10</v>
      </c>
    </row>
    <row r="334" spans="1:7">
      <c r="B334" s="51">
        <v>-5.5302234831401142E-9</v>
      </c>
      <c r="C334" s="51">
        <v>-1.9071337230009657E-8</v>
      </c>
      <c r="D334" s="51">
        <v>-1.1065947999800168E-7</v>
      </c>
      <c r="E334" s="51">
        <v>1.9053263705898289E-8</v>
      </c>
      <c r="F334" s="51">
        <v>-7.1343193979755793E-9</v>
      </c>
      <c r="G334" s="51">
        <v>2.99617501684333E-10</v>
      </c>
    </row>
    <row r="335" spans="1:7">
      <c r="B335" s="51">
        <v>3.3395510739433584E-8</v>
      </c>
      <c r="C335" s="51">
        <v>-6.774985758144417E-8</v>
      </c>
      <c r="D335" s="51">
        <v>2.4684631314830154E-9</v>
      </c>
      <c r="E335" s="51">
        <v>-1.3516446163256739E-10</v>
      </c>
      <c r="F335" s="51">
        <v>2.9961750168433259E-10</v>
      </c>
      <c r="G335" s="51">
        <v>1.0591442612931307E-8</v>
      </c>
    </row>
    <row r="336" spans="1:7">
      <c r="B336" s="4"/>
      <c r="C336" s="4"/>
      <c r="D336" s="4"/>
      <c r="E336" s="4"/>
      <c r="F336" s="4"/>
      <c r="G336" s="4"/>
    </row>
    <row r="337" spans="1:7">
      <c r="A337" s="13" t="s">
        <v>244</v>
      </c>
    </row>
    <row r="338" spans="1:7">
      <c r="A338" s="14" t="s">
        <v>245</v>
      </c>
      <c r="B338" s="54">
        <f t="array" ref="B338:B343">MMULT(B330:G335,B271:B276)</f>
        <v>-1.1625950360794041E-7</v>
      </c>
      <c r="C338" s="13" t="s">
        <v>251</v>
      </c>
      <c r="D338" s="52">
        <f>B338*100000/2.54</f>
        <v>-4.5771458113362373E-3</v>
      </c>
      <c r="E338" s="13" t="s">
        <v>257</v>
      </c>
      <c r="F338" s="50">
        <f>D338/1000</f>
        <v>-4.5771458113362374E-6</v>
      </c>
      <c r="G338" s="13" t="s">
        <v>258</v>
      </c>
    </row>
    <row r="339" spans="1:7">
      <c r="A339" s="14" t="s">
        <v>260</v>
      </c>
      <c r="B339" s="54">
        <v>2.1447492440832706E-7</v>
      </c>
      <c r="C339" s="13" t="s">
        <v>251</v>
      </c>
      <c r="D339" s="52">
        <f t="shared" ref="D339:D340" si="13">B339*100000/2.54</f>
        <v>8.4438946617451591E-3</v>
      </c>
      <c r="E339" s="13" t="s">
        <v>257</v>
      </c>
      <c r="F339" s="50">
        <f>D339/1000</f>
        <v>8.4438946617451584E-6</v>
      </c>
      <c r="G339" s="13" t="s">
        <v>258</v>
      </c>
    </row>
    <row r="340" spans="1:7">
      <c r="A340" s="14" t="s">
        <v>246</v>
      </c>
      <c r="B340" s="54">
        <v>-3.6034782964302218E-7</v>
      </c>
      <c r="C340" s="13" t="s">
        <v>251</v>
      </c>
      <c r="D340" s="52">
        <f t="shared" si="13"/>
        <v>-1.4186922426890635E-2</v>
      </c>
      <c r="E340" s="13" t="s">
        <v>257</v>
      </c>
      <c r="F340" s="50">
        <f>D340/1000</f>
        <v>-1.4186922426890634E-5</v>
      </c>
      <c r="G340" s="13" t="s">
        <v>258</v>
      </c>
    </row>
    <row r="341" spans="1:7" ht="15.75">
      <c r="A341" s="14" t="s">
        <v>247</v>
      </c>
      <c r="B341" s="53">
        <v>7.1488900409701757E-8</v>
      </c>
      <c r="C341" s="13" t="s">
        <v>250</v>
      </c>
      <c r="D341" s="53">
        <f>DEGREES(B341)</f>
        <v>4.0960122755069721E-6</v>
      </c>
      <c r="E341" s="13" t="s">
        <v>252</v>
      </c>
      <c r="F341" s="14" t="s">
        <v>253</v>
      </c>
      <c r="G341">
        <f>SIN(B341)</f>
        <v>7.1488900409701691E-8</v>
      </c>
    </row>
    <row r="342" spans="1:7" ht="15.75">
      <c r="A342" s="14" t="s">
        <v>248</v>
      </c>
      <c r="B342" s="53">
        <v>-4.6874331992765723E-8</v>
      </c>
      <c r="C342" s="13" t="s">
        <v>250</v>
      </c>
      <c r="D342" s="53">
        <f t="shared" ref="D342:D343" si="14">DEGREES(B342)</f>
        <v>-2.6857013906805255E-6</v>
      </c>
      <c r="E342" s="13" t="s">
        <v>252</v>
      </c>
      <c r="F342" s="14" t="s">
        <v>253</v>
      </c>
      <c r="G342">
        <f t="shared" ref="G342:G343" si="15">SIN(B342)</f>
        <v>-4.6874331992765703E-8</v>
      </c>
    </row>
    <row r="343" spans="1:7" ht="15.75">
      <c r="A343" s="14" t="s">
        <v>249</v>
      </c>
      <c r="B343" s="53">
        <v>-2.3587469976543523E-8</v>
      </c>
      <c r="C343" s="13" t="s">
        <v>250</v>
      </c>
      <c r="D343" s="53">
        <f t="shared" si="14"/>
        <v>-1.3514624790474868E-6</v>
      </c>
      <c r="E343" s="13" t="s">
        <v>252</v>
      </c>
      <c r="F343" s="14" t="s">
        <v>253</v>
      </c>
      <c r="G343">
        <f t="shared" si="15"/>
        <v>-2.3587469976543519E-8</v>
      </c>
    </row>
    <row r="344" spans="1:7">
      <c r="A344" s="20"/>
    </row>
    <row r="345" spans="1:7">
      <c r="A345" s="14"/>
      <c r="B345" s="48"/>
      <c r="C345" s="13"/>
      <c r="D345" s="49"/>
      <c r="E345" s="13"/>
      <c r="F345" s="50"/>
      <c r="G345" s="13"/>
    </row>
    <row r="346" spans="1:7">
      <c r="A346" s="14"/>
      <c r="B346" s="48"/>
      <c r="C346" s="13"/>
      <c r="D346" s="49"/>
      <c r="E346" s="13"/>
      <c r="F346" s="50"/>
      <c r="G346" s="13"/>
    </row>
    <row r="347" spans="1:7">
      <c r="A347" s="14"/>
      <c r="B347" s="48"/>
      <c r="C347" s="13"/>
      <c r="D347" s="49"/>
      <c r="E347" s="13"/>
      <c r="F347" s="50"/>
      <c r="G347" s="13"/>
    </row>
    <row r="348" spans="1:7">
      <c r="A348" s="14"/>
      <c r="B348" s="48"/>
      <c r="C348" s="13"/>
      <c r="E348" s="13"/>
      <c r="F348" s="14"/>
    </row>
    <row r="349" spans="1:7">
      <c r="A349" s="14"/>
      <c r="B349" s="48"/>
      <c r="C349" s="13"/>
      <c r="E349" s="13"/>
      <c r="F349" s="14"/>
    </row>
    <row r="350" spans="1:7">
      <c r="A350" s="14"/>
      <c r="B350" s="48"/>
      <c r="C350" s="13"/>
      <c r="E350" s="13"/>
      <c r="F350" s="14"/>
    </row>
  </sheetData>
  <mergeCells count="6">
    <mergeCell ref="A302:A303"/>
    <mergeCell ref="A311:A312"/>
    <mergeCell ref="A318:A319"/>
    <mergeCell ref="A325:A326"/>
    <mergeCell ref="A2:G3"/>
    <mergeCell ref="A273:A274"/>
  </mergeCells>
  <phoneticPr fontId="1" type="noConversion"/>
  <pageMargins left="0.98425196850393704" right="0.74803149606299213" top="0.98425196850393704" bottom="0.78740157480314965" header="0.39370078740157483" footer="0.39370078740157483"/>
  <pageSetup paperSize="119" scale="98" orientation="portrait" r:id="rId1"/>
  <headerFooter alignWithMargins="0">
    <oddHeader>&amp;CTesis de Maestría</oddHeader>
    <oddFooter>&amp;CIng Ulises Talonia Vargas</oddFooter>
  </headerFooter>
  <rowBreaks count="5" manualBreakCount="5">
    <brk id="48" max="16383" man="1"/>
    <brk id="93" max="6" man="1"/>
    <brk id="142" max="6" man="1"/>
    <brk id="190" max="6" man="1"/>
    <brk id="237" max="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H350"/>
  <sheetViews>
    <sheetView topLeftCell="A27" zoomScaleSheetLayoutView="100" workbookViewId="0">
      <selection activeCell="F46" sqref="F46"/>
    </sheetView>
  </sheetViews>
  <sheetFormatPr baseColWidth="10" defaultRowHeight="12.75"/>
  <cols>
    <col min="1" max="1" width="8.7109375" customWidth="1"/>
    <col min="2" max="2" width="12.7109375" customWidth="1"/>
    <col min="3" max="3" width="13.7109375" customWidth="1"/>
    <col min="4" max="4" width="11.7109375" customWidth="1"/>
    <col min="5" max="5" width="12.7109375" bestFit="1" customWidth="1"/>
    <col min="6" max="6" width="14.42578125" customWidth="1"/>
    <col min="7" max="7" width="12.42578125" customWidth="1"/>
    <col min="9" max="9" width="13" bestFit="1" customWidth="1"/>
  </cols>
  <sheetData>
    <row r="2" spans="1:7" ht="18" customHeight="1">
      <c r="A2" s="57" t="s">
        <v>0</v>
      </c>
      <c r="B2" s="58"/>
      <c r="C2" s="58"/>
      <c r="D2" s="58"/>
      <c r="E2" s="58"/>
      <c r="F2" s="58"/>
      <c r="G2" s="58"/>
    </row>
    <row r="3" spans="1:7" ht="18" customHeight="1">
      <c r="A3" s="58"/>
      <c r="B3" s="58"/>
      <c r="C3" s="58"/>
      <c r="D3" s="58"/>
      <c r="E3" s="58"/>
      <c r="F3" s="58"/>
      <c r="G3" s="58"/>
    </row>
    <row r="5" spans="1:7">
      <c r="A5" t="s">
        <v>1</v>
      </c>
    </row>
    <row r="33" spans="1:8" ht="13.5" thickBot="1">
      <c r="A33" s="21"/>
      <c r="B33" s="39" t="s">
        <v>106</v>
      </c>
      <c r="C33" s="21"/>
      <c r="D33" s="21"/>
      <c r="E33" s="21"/>
      <c r="F33" s="21"/>
      <c r="G33" s="21"/>
    </row>
    <row r="35" spans="1:8">
      <c r="A35" s="2" t="s">
        <v>2</v>
      </c>
      <c r="B35" s="40">
        <v>5.52</v>
      </c>
      <c r="C35" s="2" t="s">
        <v>3</v>
      </c>
      <c r="D35" s="40">
        <v>11.39</v>
      </c>
      <c r="E35" s="2" t="s">
        <v>17</v>
      </c>
      <c r="F35" s="40">
        <v>1.6</v>
      </c>
    </row>
    <row r="36" spans="1:8">
      <c r="A36" s="2" t="s">
        <v>33</v>
      </c>
      <c r="B36" s="40">
        <v>1.6</v>
      </c>
      <c r="C36" s="2" t="s">
        <v>20</v>
      </c>
      <c r="D36" s="36">
        <f>B35/2</f>
        <v>2.76</v>
      </c>
      <c r="E36" s="2" t="s">
        <v>21</v>
      </c>
      <c r="F36" s="36">
        <f>D35/2</f>
        <v>5.6950000000000003</v>
      </c>
    </row>
    <row r="37" spans="1:8">
      <c r="A37" s="2" t="s">
        <v>35</v>
      </c>
      <c r="B37" s="6">
        <f>B35/D35</f>
        <v>0.48463564530289721</v>
      </c>
      <c r="C37" s="2" t="s">
        <v>36</v>
      </c>
      <c r="D37" s="6">
        <f>F35/D36</f>
        <v>0.57971014492753636</v>
      </c>
      <c r="E37" s="16" t="s">
        <v>51</v>
      </c>
      <c r="F37" s="6">
        <f>B36/D36</f>
        <v>0.57971014492753636</v>
      </c>
    </row>
    <row r="38" spans="1:8">
      <c r="A38" s="2" t="s">
        <v>37</v>
      </c>
      <c r="B38" s="6">
        <f>F36/D36</f>
        <v>2.0634057971014497</v>
      </c>
      <c r="C38" s="16" t="s">
        <v>52</v>
      </c>
      <c r="D38" s="6">
        <f>B36/F36</f>
        <v>0.28094820017559263</v>
      </c>
      <c r="E38" s="14" t="s">
        <v>53</v>
      </c>
      <c r="F38" s="6">
        <f>F35/B36</f>
        <v>1</v>
      </c>
    </row>
    <row r="39" spans="1:8" ht="15.75">
      <c r="A39" s="2" t="s">
        <v>19</v>
      </c>
      <c r="B39" s="41">
        <f>B35*D35</f>
        <v>62.872799999999998</v>
      </c>
      <c r="C39" s="2" t="s">
        <v>18</v>
      </c>
      <c r="D39" s="41">
        <f>2*(D35+B35)*B36</f>
        <v>54.112000000000002</v>
      </c>
      <c r="E39" s="2" t="s">
        <v>27</v>
      </c>
      <c r="F39" s="6">
        <f>B39/(D35*D35)</f>
        <v>0.48463564530289727</v>
      </c>
    </row>
    <row r="40" spans="1:8" ht="15.75">
      <c r="A40" s="14" t="s">
        <v>45</v>
      </c>
      <c r="B40" s="6">
        <f>D35*POWER(B35,3)/12</f>
        <v>159.64661375999998</v>
      </c>
      <c r="C40" s="13" t="s">
        <v>47</v>
      </c>
      <c r="D40" s="14" t="s">
        <v>46</v>
      </c>
      <c r="E40" s="6">
        <f>B35*POWER(D35,3)/12</f>
        <v>679.71836473999997</v>
      </c>
      <c r="F40" s="13" t="s">
        <v>47</v>
      </c>
    </row>
    <row r="41" spans="1:8" ht="15.75">
      <c r="A41" s="14" t="s">
        <v>98</v>
      </c>
      <c r="B41" s="6">
        <f>B40+E40</f>
        <v>839.36497850000001</v>
      </c>
      <c r="C41" s="13" t="s">
        <v>47</v>
      </c>
      <c r="D41" s="13" t="s">
        <v>227</v>
      </c>
      <c r="E41" s="36">
        <v>1.9</v>
      </c>
    </row>
    <row r="42" spans="1:8" ht="15.75">
      <c r="A42" s="16" t="s">
        <v>99</v>
      </c>
      <c r="B42" s="40">
        <v>14.5</v>
      </c>
      <c r="C42" s="5" t="s">
        <v>7</v>
      </c>
      <c r="D42" s="3">
        <v>0.25</v>
      </c>
      <c r="E42" s="2" t="s">
        <v>8</v>
      </c>
      <c r="F42" s="3">
        <v>724</v>
      </c>
      <c r="G42" t="s">
        <v>9</v>
      </c>
    </row>
    <row r="43" spans="1:8" ht="14.25">
      <c r="A43" s="5" t="s">
        <v>12</v>
      </c>
      <c r="B43" s="3">
        <v>1.94</v>
      </c>
      <c r="C43" t="s">
        <v>13</v>
      </c>
      <c r="D43" s="5" t="s">
        <v>10</v>
      </c>
      <c r="E43" s="7">
        <f>B43/9.81</f>
        <v>0.19775739041794085</v>
      </c>
      <c r="F43" t="s">
        <v>14</v>
      </c>
    </row>
    <row r="44" spans="1:8">
      <c r="A44" s="5" t="s">
        <v>107</v>
      </c>
      <c r="B44" s="24">
        <v>0.03</v>
      </c>
      <c r="C44" s="13"/>
      <c r="D44" s="2" t="s">
        <v>6</v>
      </c>
      <c r="E44" s="1">
        <f>E43*F42*F42</f>
        <v>103659.67787971457</v>
      </c>
      <c r="F44" t="s">
        <v>11</v>
      </c>
      <c r="H44">
        <f>'Análisis ok'!E44*1.1</f>
        <v>103567.52293577981</v>
      </c>
    </row>
    <row r="45" spans="1:8">
      <c r="A45" t="s">
        <v>23</v>
      </c>
      <c r="D45" s="3">
        <v>14.83</v>
      </c>
      <c r="E45" t="s">
        <v>24</v>
      </c>
    </row>
    <row r="46" spans="1:8" ht="15.75">
      <c r="A46" s="2" t="s">
        <v>97</v>
      </c>
      <c r="B46" s="4">
        <f>F42/(4*B42)</f>
        <v>12.482758620689655</v>
      </c>
      <c r="C46" s="13" t="s">
        <v>24</v>
      </c>
      <c r="E46" s="13"/>
      <c r="F46" s="2" t="s">
        <v>272</v>
      </c>
      <c r="G46" s="7">
        <f>B47*D36/F42</f>
        <v>0.3552151949877157</v>
      </c>
      <c r="H46">
        <f>SQRT(H44/E43)</f>
        <v>723.67810523740457</v>
      </c>
    </row>
    <row r="47" spans="1:8">
      <c r="A47" s="5" t="s">
        <v>22</v>
      </c>
      <c r="B47" s="6">
        <f>2*PI()*D45</f>
        <v>93.179638105473259</v>
      </c>
      <c r="C47" s="13" t="s">
        <v>254</v>
      </c>
    </row>
    <row r="48" spans="1:8" ht="13.5" thickBot="1">
      <c r="A48" s="21"/>
      <c r="B48" s="21"/>
      <c r="C48" s="21"/>
      <c r="D48" s="21"/>
      <c r="E48" s="22"/>
      <c r="F48" s="23"/>
      <c r="G48" s="21"/>
    </row>
    <row r="49" spans="1:7" ht="15">
      <c r="A49" s="12" t="s">
        <v>42</v>
      </c>
      <c r="B49" s="6"/>
      <c r="D49" s="2"/>
      <c r="E49" s="1"/>
    </row>
    <row r="50" spans="1:7">
      <c r="A50" s="10" t="s">
        <v>4</v>
      </c>
      <c r="B50" s="6"/>
      <c r="D50" s="2"/>
      <c r="E50" s="1"/>
    </row>
    <row r="51" spans="1:7" ht="15.75">
      <c r="A51" s="2" t="s">
        <v>5</v>
      </c>
      <c r="B51" s="6">
        <f>IF(F39&lt;0.02,0.8,0.73+1.54*POWER(F39,0.75))</f>
        <v>1.6245038951814859</v>
      </c>
    </row>
    <row r="52" spans="1:7" ht="14.25">
      <c r="A52" s="8" t="s">
        <v>40</v>
      </c>
      <c r="B52" s="9">
        <f>D35*E44*B51/(1-D42)</f>
        <v>2557367.0934240692</v>
      </c>
      <c r="C52" s="10" t="s">
        <v>15</v>
      </c>
      <c r="D52" t="s">
        <v>16</v>
      </c>
    </row>
    <row r="53" spans="1:7" ht="14.25">
      <c r="A53" s="8" t="s">
        <v>25</v>
      </c>
      <c r="B53" s="9">
        <f>B52*(1+(F35/(21*D36))*(1+4*B39/(12*F36*F36))*(1+0.19*POWER((D39/B39),2/3)))</f>
        <v>2693560.9171857918</v>
      </c>
      <c r="C53" s="10" t="s">
        <v>15</v>
      </c>
      <c r="D53" t="s">
        <v>34</v>
      </c>
    </row>
    <row r="54" spans="1:7" ht="14.25">
      <c r="A54" s="8" t="s">
        <v>141</v>
      </c>
      <c r="B54" s="31">
        <f>B52*(1+(F35/(21*D36))*(1+4*B39/(12*F36*F36)))</f>
        <v>2673582.1041134098</v>
      </c>
      <c r="C54" s="13" t="s">
        <v>15</v>
      </c>
      <c r="D54" s="10"/>
    </row>
    <row r="55" spans="1:7" ht="14.25">
      <c r="A55" s="8" t="s">
        <v>133</v>
      </c>
      <c r="B55" s="31">
        <f>B53-B54</f>
        <v>19978.813072382007</v>
      </c>
      <c r="C55" s="13" t="s">
        <v>15</v>
      </c>
    </row>
    <row r="56" spans="1:7" ht="14.25">
      <c r="A56" s="8" t="s">
        <v>134</v>
      </c>
      <c r="B56" s="1">
        <f>B55/D39</f>
        <v>369.21224631102172</v>
      </c>
      <c r="C56" s="13" t="s">
        <v>135</v>
      </c>
    </row>
    <row r="57" spans="1:7" ht="14.25">
      <c r="A57" s="11" t="s">
        <v>41</v>
      </c>
      <c r="B57" s="10"/>
      <c r="C57" s="10"/>
      <c r="E57" s="8" t="s">
        <v>40</v>
      </c>
      <c r="F57" s="9">
        <f>B58*B52</f>
        <v>2480646.0806213473</v>
      </c>
      <c r="G57" s="10" t="s">
        <v>15</v>
      </c>
    </row>
    <row r="58" spans="1:7" ht="14.25">
      <c r="A58" s="8" t="s">
        <v>40</v>
      </c>
      <c r="B58" s="3">
        <v>0.97</v>
      </c>
      <c r="E58" s="8" t="s">
        <v>25</v>
      </c>
      <c r="F58" s="9">
        <f>B52*(1-0.09*POWER((F35/D36),0.75)*POWER(G46,2))</f>
        <v>2538072.8911131257</v>
      </c>
      <c r="G58" s="10" t="s">
        <v>15</v>
      </c>
    </row>
    <row r="59" spans="1:7">
      <c r="E59" s="8"/>
      <c r="F59" s="9"/>
      <c r="G59" s="10"/>
    </row>
    <row r="60" spans="1:7" ht="15">
      <c r="B60" s="26" t="s">
        <v>108</v>
      </c>
      <c r="C60" s="27">
        <f>F58-B47*B113*B44</f>
        <v>2480103.9533550488</v>
      </c>
      <c r="D60" s="25" t="s">
        <v>15</v>
      </c>
      <c r="E60" s="8"/>
      <c r="F60" s="9"/>
      <c r="G60" s="10"/>
    </row>
    <row r="61" spans="1:7" s="15" customFormat="1" ht="13.5" thickBot="1"/>
    <row r="62" spans="1:7">
      <c r="B62" s="10" t="s">
        <v>28</v>
      </c>
    </row>
    <row r="63" spans="1:7" ht="15.75">
      <c r="B63" s="2" t="s">
        <v>26</v>
      </c>
      <c r="C63" s="6">
        <f>IF(F39&lt;0.16,2.24,4.5*POWER(F39,0.38))</f>
        <v>3.4171996102899405</v>
      </c>
      <c r="E63" s="8" t="s">
        <v>29</v>
      </c>
      <c r="F63" s="9">
        <f>D35*E44*C63/(2-D42)</f>
        <v>2305503.9917826052</v>
      </c>
      <c r="G63" s="10" t="s">
        <v>15</v>
      </c>
    </row>
    <row r="64" spans="1:7" ht="14.25">
      <c r="B64" s="8" t="s">
        <v>143</v>
      </c>
      <c r="C64" s="31">
        <f>F65-F64</f>
        <v>998919.12222075788</v>
      </c>
      <c r="D64" s="10" t="s">
        <v>15</v>
      </c>
      <c r="E64" s="8" t="s">
        <v>142</v>
      </c>
      <c r="F64" s="31">
        <f>F63*(1+0.15*SQRT(D37))</f>
        <v>2568811.1026723715</v>
      </c>
      <c r="G64" s="10" t="s">
        <v>15</v>
      </c>
    </row>
    <row r="65" spans="1:7" ht="14.25">
      <c r="B65" s="8"/>
      <c r="C65" s="31"/>
      <c r="D65" s="10"/>
      <c r="E65" s="8" t="s">
        <v>32</v>
      </c>
      <c r="F65" s="28">
        <f>F63*(1+0.15*SQRT(D37))*(1+0.52*POWER((F35-0.5*B36)*D39/(D36*POWER(F36,2)),0.4))</f>
        <v>3567730.2248931294</v>
      </c>
      <c r="G65" s="10" t="s">
        <v>15</v>
      </c>
    </row>
    <row r="66" spans="1:7">
      <c r="B66" s="10" t="s">
        <v>30</v>
      </c>
    </row>
    <row r="67" spans="1:7" ht="14.25">
      <c r="E67" s="8" t="s">
        <v>31</v>
      </c>
      <c r="F67" s="9">
        <f>F63-(0.21*F36*E44*(1-B37)/(0.75-D42))</f>
        <v>2177722.7068602811</v>
      </c>
      <c r="G67" s="10" t="s">
        <v>15</v>
      </c>
    </row>
    <row r="68" spans="1:7" ht="14.25">
      <c r="B68" s="8" t="s">
        <v>144</v>
      </c>
      <c r="C68" s="31">
        <f>F69-F68</f>
        <v>943554.58178803651</v>
      </c>
      <c r="D68" s="10" t="s">
        <v>15</v>
      </c>
      <c r="E68" s="8" t="s">
        <v>145</v>
      </c>
      <c r="F68" s="31">
        <f>F67*(1+0.15*SQRT(D37))</f>
        <v>2426436.166609732</v>
      </c>
      <c r="G68" s="10" t="s">
        <v>15</v>
      </c>
    </row>
    <row r="69" spans="1:7" ht="14.25">
      <c r="B69" s="8"/>
      <c r="C69" s="31"/>
      <c r="D69" s="10"/>
      <c r="E69" s="8" t="s">
        <v>38</v>
      </c>
      <c r="F69" s="28">
        <f>F67*(1+0.15*SQRT(D37))*(1+0.52*POWER((F35-0.5*B36)*D39/(D36*POWER(F36,2)),0.4))</f>
        <v>3369990.7483977685</v>
      </c>
      <c r="G69" s="10" t="s">
        <v>15</v>
      </c>
    </row>
    <row r="71" spans="1:7">
      <c r="A71" s="13" t="s">
        <v>208</v>
      </c>
    </row>
    <row r="72" spans="1:7">
      <c r="A72" s="13" t="s">
        <v>209</v>
      </c>
    </row>
    <row r="73" spans="1:7" ht="14.25">
      <c r="B73" s="8" t="s">
        <v>31</v>
      </c>
      <c r="C73" s="3">
        <v>1.02</v>
      </c>
      <c r="D73" s="8" t="s">
        <v>38</v>
      </c>
      <c r="E73" s="3">
        <v>1</v>
      </c>
    </row>
    <row r="74" spans="1:7" ht="14.25">
      <c r="B74" s="8" t="s">
        <v>29</v>
      </c>
      <c r="C74" s="3">
        <v>1.05</v>
      </c>
      <c r="D74" s="8" t="s">
        <v>32</v>
      </c>
      <c r="E74" s="3">
        <v>1</v>
      </c>
    </row>
    <row r="75" spans="1:7">
      <c r="B75" s="10" t="s">
        <v>39</v>
      </c>
    </row>
    <row r="76" spans="1:7">
      <c r="G76" s="9"/>
    </row>
    <row r="77" spans="1:7" ht="14.25">
      <c r="B77" s="8" t="s">
        <v>31</v>
      </c>
      <c r="C77" s="9">
        <f>F67*C73</f>
        <v>2221277.1609974867</v>
      </c>
      <c r="D77" s="10" t="s">
        <v>15</v>
      </c>
      <c r="E77" s="8" t="s">
        <v>38</v>
      </c>
      <c r="F77" s="9">
        <f>F69*E73</f>
        <v>3369990.7483977685</v>
      </c>
      <c r="G77" s="10" t="s">
        <v>15</v>
      </c>
    </row>
    <row r="78" spans="1:7" ht="14.25">
      <c r="B78" s="8" t="s">
        <v>29</v>
      </c>
      <c r="C78" s="9">
        <f>F63*C74</f>
        <v>2420779.1913717357</v>
      </c>
      <c r="D78" s="10" t="s">
        <v>15</v>
      </c>
      <c r="E78" s="8" t="s">
        <v>32</v>
      </c>
      <c r="F78" s="9">
        <f>F65*E74</f>
        <v>3567730.2248931294</v>
      </c>
      <c r="G78" s="10" t="s">
        <v>15</v>
      </c>
    </row>
    <row r="79" spans="1:7">
      <c r="B79" s="8"/>
      <c r="C79" s="9"/>
      <c r="D79" s="10"/>
      <c r="E79" s="8"/>
      <c r="F79" s="9"/>
      <c r="G79" s="10"/>
    </row>
    <row r="80" spans="1:7" ht="15">
      <c r="B80" s="8"/>
      <c r="C80" s="26" t="s">
        <v>110</v>
      </c>
      <c r="D80" s="27">
        <f>F77-B47*B121*B44</f>
        <v>3323308.8709671879</v>
      </c>
      <c r="E80" s="25" t="s">
        <v>15</v>
      </c>
      <c r="F80" s="9"/>
      <c r="G80" s="10"/>
    </row>
    <row r="81" spans="1:7" ht="15">
      <c r="B81" s="8"/>
      <c r="C81" s="26" t="s">
        <v>109</v>
      </c>
      <c r="D81" s="27">
        <f>F78-B47*B122*B44</f>
        <v>3508817.7194541567</v>
      </c>
      <c r="E81" s="25" t="s">
        <v>15</v>
      </c>
      <c r="F81" s="9"/>
      <c r="G81" s="10"/>
    </row>
    <row r="82" spans="1:7" ht="13.5" thickBot="1">
      <c r="A82" s="15"/>
      <c r="B82" s="15"/>
      <c r="C82" s="15"/>
      <c r="D82" s="15"/>
      <c r="E82" s="15"/>
      <c r="F82" s="15"/>
      <c r="G82" s="15"/>
    </row>
    <row r="83" spans="1:7">
      <c r="B83" s="10" t="s">
        <v>43</v>
      </c>
    </row>
    <row r="85" spans="1:7" ht="14.25">
      <c r="B85" s="8" t="s">
        <v>44</v>
      </c>
      <c r="C85" s="9">
        <f>(E44/(1-D42))*POWER(B40,0.75)*POWER(B38,0.25)*(2.4+0.5*B37)</f>
        <v>19658464.414101128</v>
      </c>
      <c r="D85" s="10" t="s">
        <v>15</v>
      </c>
      <c r="E85" s="8" t="s">
        <v>49</v>
      </c>
      <c r="F85" s="9">
        <f>C85*(1+1.26*F37*(1+F37*POWER(F38,0.2)*POWER(B37,0.5)))</f>
        <v>39812639.536315836</v>
      </c>
      <c r="G85" s="10" t="s">
        <v>15</v>
      </c>
    </row>
    <row r="86" spans="1:7" ht="14.25">
      <c r="B86" s="8" t="s">
        <v>48</v>
      </c>
      <c r="C86" s="9">
        <f>(3*E44/(1-D42))*POWER(E40,0.75)*POWER(B38,0.15)</f>
        <v>61532462.566439927</v>
      </c>
      <c r="D86" s="10" t="s">
        <v>15</v>
      </c>
      <c r="E86" s="8" t="s">
        <v>50</v>
      </c>
      <c r="F86" s="9">
        <f>C86*(1+0.92*POWER(D38,0.6)*(1.5+POWER(D38,1.9)*POWER(F38,0.6)))</f>
        <v>103543203.91772491</v>
      </c>
      <c r="G86" s="10" t="s">
        <v>15</v>
      </c>
    </row>
    <row r="87" spans="1:7">
      <c r="B87" s="13" t="s">
        <v>54</v>
      </c>
    </row>
    <row r="88" spans="1:7" ht="14.25">
      <c r="B88" s="8" t="s">
        <v>44</v>
      </c>
      <c r="C88" s="6">
        <f>1-0.2*G46</f>
        <v>0.92895696100245684</v>
      </c>
      <c r="E88" s="8" t="s">
        <v>111</v>
      </c>
      <c r="F88" s="28">
        <f>F85*C88</f>
        <v>36984228.633142218</v>
      </c>
      <c r="G88" s="10" t="s">
        <v>15</v>
      </c>
    </row>
    <row r="89" spans="1:7" ht="14.25">
      <c r="B89" s="8" t="s">
        <v>48</v>
      </c>
      <c r="C89" s="6">
        <f>1-0.3*G46</f>
        <v>0.89343544150368526</v>
      </c>
      <c r="E89" s="8" t="s">
        <v>50</v>
      </c>
      <c r="F89" s="28">
        <f>F86*C89</f>
        <v>92509168.10693866</v>
      </c>
      <c r="G89" s="10" t="s">
        <v>15</v>
      </c>
    </row>
    <row r="90" spans="1:7">
      <c r="B90" s="8"/>
      <c r="F90" s="28"/>
      <c r="G90" s="10"/>
    </row>
    <row r="91" spans="1:7" ht="15">
      <c r="B91" s="8"/>
      <c r="C91" s="26" t="s">
        <v>112</v>
      </c>
      <c r="D91" s="27">
        <f>F88-B47*B129*B44</f>
        <v>36859782.963438131</v>
      </c>
      <c r="E91" s="25" t="s">
        <v>15</v>
      </c>
      <c r="F91" s="28"/>
      <c r="G91" s="10"/>
    </row>
    <row r="92" spans="1:7" ht="15">
      <c r="B92" s="8"/>
      <c r="C92" s="26" t="s">
        <v>113</v>
      </c>
      <c r="D92" s="27">
        <f>F89-B47*B130*B44</f>
        <v>92092910.166260317</v>
      </c>
      <c r="E92" s="25" t="s">
        <v>15</v>
      </c>
      <c r="F92" s="28"/>
      <c r="G92" s="10"/>
    </row>
    <row r="93" spans="1:7" ht="13.5" thickBot="1">
      <c r="A93" s="15"/>
      <c r="B93" s="15"/>
      <c r="C93" s="15"/>
      <c r="D93" s="15"/>
      <c r="E93" s="15"/>
      <c r="F93" s="15"/>
      <c r="G93" s="15"/>
    </row>
    <row r="94" spans="1:7">
      <c r="B94" s="17" t="s">
        <v>55</v>
      </c>
    </row>
    <row r="96" spans="1:7" ht="14.25">
      <c r="A96" s="8" t="s">
        <v>56</v>
      </c>
      <c r="B96" s="9">
        <f>E44*POWER(B41,0.75)*(3.8+10.7*POWER((1-B37),10))</f>
        <v>61655228.026170664</v>
      </c>
      <c r="C96" s="10" t="s">
        <v>15</v>
      </c>
      <c r="E96" s="8" t="s">
        <v>57</v>
      </c>
      <c r="F96" s="9">
        <f>B96*(1+(1.3+1.32*B37)*POWER(D37,0.9))</f>
        <v>134869972.37616023</v>
      </c>
      <c r="G96" s="10" t="s">
        <v>15</v>
      </c>
    </row>
    <row r="98" spans="1:7">
      <c r="A98" s="13" t="s">
        <v>58</v>
      </c>
    </row>
    <row r="99" spans="1:7">
      <c r="A99" s="14" t="s">
        <v>59</v>
      </c>
      <c r="B99" s="6">
        <f>0.33-0.13*SQRT(B38-1)</f>
        <v>0.19594196043871709</v>
      </c>
    </row>
    <row r="100" spans="1:7" ht="14.25">
      <c r="A100" s="14" t="s">
        <v>60</v>
      </c>
      <c r="B100" s="6">
        <f>0.8/(1+0.33*(B38-1))</f>
        <v>0.59218731142132996</v>
      </c>
      <c r="C100" s="8" t="s">
        <v>61</v>
      </c>
      <c r="D100" s="6">
        <f>1-B99*POWER(G46,2)/(B100+POWER(G46,2))</f>
        <v>0.96558361379777058</v>
      </c>
      <c r="E100" s="14"/>
      <c r="F100" s="6"/>
    </row>
    <row r="101" spans="1:7">
      <c r="E101" s="14"/>
      <c r="F101" s="6"/>
    </row>
    <row r="102" spans="1:7" ht="14.25">
      <c r="B102" s="13" t="s">
        <v>62</v>
      </c>
      <c r="E102" s="8" t="s">
        <v>57</v>
      </c>
      <c r="F102" s="28">
        <f>D100*F96</f>
        <v>130228235.31977829</v>
      </c>
      <c r="G102" s="10" t="s">
        <v>15</v>
      </c>
    </row>
    <row r="103" spans="1:7">
      <c r="B103" s="13"/>
      <c r="E103" s="8"/>
      <c r="F103" s="28"/>
      <c r="G103" s="10"/>
    </row>
    <row r="104" spans="1:7" ht="15">
      <c r="D104" s="26" t="s">
        <v>114</v>
      </c>
      <c r="E104" s="27">
        <f>F102-B47*B138*B44</f>
        <v>129977724.55898798</v>
      </c>
      <c r="F104" s="25" t="s">
        <v>15</v>
      </c>
      <c r="G104" s="10"/>
    </row>
    <row r="105" spans="1:7" ht="13.5" thickBot="1">
      <c r="A105" s="15"/>
      <c r="B105" s="15"/>
      <c r="C105" s="15"/>
      <c r="D105" s="15"/>
      <c r="E105" s="15"/>
      <c r="F105" s="15"/>
      <c r="G105" s="15"/>
    </row>
    <row r="107" spans="1:7" ht="15.75" customHeight="1">
      <c r="A107" s="12" t="s">
        <v>63</v>
      </c>
    </row>
    <row r="108" spans="1:7">
      <c r="A108" s="10" t="s">
        <v>69</v>
      </c>
    </row>
    <row r="109" spans="1:7" ht="14.25">
      <c r="B109" s="8" t="s">
        <v>65</v>
      </c>
      <c r="C109" s="6">
        <f>3.4*F42/(PI()*(1-D42))</f>
        <v>1044.7354877733587</v>
      </c>
      <c r="D109" s="13" t="s">
        <v>9</v>
      </c>
    </row>
    <row r="110" spans="1:7">
      <c r="A110" s="13" t="s">
        <v>66</v>
      </c>
      <c r="D110" s="18">
        <v>1</v>
      </c>
      <c r="F110" s="13"/>
    </row>
    <row r="111" spans="1:7" ht="14.25">
      <c r="B111" s="8" t="s">
        <v>64</v>
      </c>
      <c r="C111" s="9">
        <f>E43*C109*B39*D110</f>
        <v>12989.782265934051</v>
      </c>
      <c r="D111" t="s">
        <v>68</v>
      </c>
    </row>
    <row r="112" spans="1:7">
      <c r="A112" s="13" t="s">
        <v>77</v>
      </c>
    </row>
    <row r="113" spans="1:7" ht="15">
      <c r="A113" s="8" t="s">
        <v>67</v>
      </c>
      <c r="B113" s="9">
        <f>(F146*C111+E43*F42*D39*F145)*F147</f>
        <v>20737.340952988077</v>
      </c>
      <c r="C113" t="s">
        <v>68</v>
      </c>
      <c r="E113" s="26" t="s">
        <v>115</v>
      </c>
      <c r="F113" s="27">
        <f>B113+2*F58*B44/B47</f>
        <v>22371.650514208002</v>
      </c>
      <c r="G113" s="25" t="s">
        <v>68</v>
      </c>
    </row>
    <row r="114" spans="1:7" ht="13.5" thickBot="1">
      <c r="A114" s="15"/>
      <c r="B114" s="15"/>
      <c r="C114" s="15"/>
      <c r="D114" s="15"/>
      <c r="E114" s="15"/>
      <c r="F114" s="15"/>
      <c r="G114" s="15"/>
    </row>
    <row r="115" spans="1:7">
      <c r="A115" s="10" t="s">
        <v>70</v>
      </c>
    </row>
    <row r="117" spans="1:7" ht="14.25">
      <c r="A117" s="8" t="s">
        <v>71</v>
      </c>
      <c r="B117" s="9">
        <f>E43*F42*B39*G117</f>
        <v>7831.6513121467888</v>
      </c>
      <c r="C117" t="s">
        <v>68</v>
      </c>
      <c r="D117" s="13" t="s">
        <v>72</v>
      </c>
      <c r="G117" s="18">
        <v>0.87</v>
      </c>
    </row>
    <row r="118" spans="1:7" ht="14.25">
      <c r="A118" s="8" t="s">
        <v>73</v>
      </c>
      <c r="B118" s="9">
        <f>E43*F42*B39*G118</f>
        <v>9181.9360211376152</v>
      </c>
      <c r="C118" t="s">
        <v>68</v>
      </c>
      <c r="D118" s="13" t="s">
        <v>74</v>
      </c>
      <c r="G118" s="18">
        <v>1.02</v>
      </c>
    </row>
    <row r="119" spans="1:7">
      <c r="A119" s="13" t="s">
        <v>83</v>
      </c>
    </row>
    <row r="120" spans="1:7">
      <c r="A120" s="13"/>
    </row>
    <row r="121" spans="1:7" ht="15">
      <c r="A121" s="8" t="s">
        <v>75</v>
      </c>
      <c r="B121" s="9">
        <f>(G117+D37*POWER((B36/F35),0.2)*(1+C109*B37/F42))*E43*F42*B39*F145*F146*F147</f>
        <v>16699.59888938384</v>
      </c>
      <c r="C121" t="s">
        <v>68</v>
      </c>
      <c r="D121" s="26" t="s">
        <v>116</v>
      </c>
      <c r="E121" s="27">
        <f>B121+2*F77*B44/B47</f>
        <v>18869.594920866486</v>
      </c>
      <c r="F121" s="25" t="s">
        <v>68</v>
      </c>
    </row>
    <row r="122" spans="1:7" ht="15">
      <c r="A122" s="8" t="s">
        <v>76</v>
      </c>
      <c r="B122" s="9">
        <f>(G118+D37*POWER((B36/F35),0.35)*C109/F42+B37)*E43*F42*B39*F145*F146*F147</f>
        <v>21074.885256328744</v>
      </c>
      <c r="C122" t="s">
        <v>68</v>
      </c>
      <c r="D122" s="26" t="s">
        <v>117</v>
      </c>
      <c r="E122" s="27">
        <f>B122+2*F78*B44/B47</f>
        <v>23372.209197974465</v>
      </c>
      <c r="F122" s="25" t="s">
        <v>68</v>
      </c>
    </row>
    <row r="123" spans="1:7" ht="13.5" thickBot="1">
      <c r="A123" s="15"/>
      <c r="B123" s="15"/>
      <c r="C123" s="15"/>
      <c r="D123" s="15"/>
      <c r="E123" s="15"/>
      <c r="F123" s="15"/>
      <c r="G123" s="15"/>
    </row>
    <row r="124" spans="1:7">
      <c r="B124" s="17" t="s">
        <v>78</v>
      </c>
    </row>
    <row r="126" spans="1:7" ht="14.25">
      <c r="A126" s="8" t="s">
        <v>81</v>
      </c>
      <c r="B126" s="9">
        <f>E43*C109*B40*G126</f>
        <v>3958.0386155591686</v>
      </c>
      <c r="C126" t="s">
        <v>68</v>
      </c>
      <c r="D126" s="13" t="s">
        <v>80</v>
      </c>
      <c r="G126" s="18">
        <v>0.12</v>
      </c>
    </row>
    <row r="127" spans="1:7" ht="14.25">
      <c r="A127" s="8" t="s">
        <v>82</v>
      </c>
      <c r="B127" s="9">
        <f>E43*C109*E40*G127</f>
        <v>33703.834638047658</v>
      </c>
      <c r="C127" t="s">
        <v>68</v>
      </c>
      <c r="D127" s="13" t="s">
        <v>79</v>
      </c>
      <c r="G127" s="18">
        <v>0.24</v>
      </c>
    </row>
    <row r="128" spans="1:7">
      <c r="A128" s="13" t="s">
        <v>83</v>
      </c>
    </row>
    <row r="129" spans="1:7" ht="14.25">
      <c r="A129" s="8" t="s">
        <v>84</v>
      </c>
      <c r="B129" s="9">
        <f>E43*C109*B40*E129*E130*F145*F146*F147</f>
        <v>44518.191683044075</v>
      </c>
      <c r="C129" t="s">
        <v>68</v>
      </c>
      <c r="D129" s="8" t="s">
        <v>86</v>
      </c>
      <c r="E129" s="6">
        <f>G126+(0.25+0.65*POWER((G46*POWER((B36/F35),-G46)*POWER(D37,-0.5)),0.5))</f>
        <v>0.81397283603610238</v>
      </c>
      <c r="F129" s="8" t="s">
        <v>88</v>
      </c>
      <c r="G129" s="6">
        <f>G127+0.25+(0.65*POWER((G46*POWER((B36/F35),-G46)*POWER(D37,-0.5)*POWER(B38,0.5)),0.5))</f>
        <v>1.0221113967207143</v>
      </c>
    </row>
    <row r="130" spans="1:7" ht="14.25">
      <c r="A130" s="8" t="s">
        <v>85</v>
      </c>
      <c r="B130" s="9">
        <f>E43*C109*E40*G129*G130*F145*F146*F147</f>
        <v>148908.76345293445</v>
      </c>
      <c r="C130" t="s">
        <v>68</v>
      </c>
      <c r="D130" s="8" t="s">
        <v>87</v>
      </c>
      <c r="E130" s="6">
        <f>POWER(F37,3)+2.77*(1-D42)*F37+0.92*(1-D42)*(D38+POWER(B36,3)/(F36*D36*D36))</f>
        <v>1.6581691173687783</v>
      </c>
      <c r="F130" s="8" t="s">
        <v>89</v>
      </c>
      <c r="G130" s="6">
        <f>POWER(D38,3)+2.77*(1-D42)*D38+0.92*(1-D42)*(F37+POWER(B36,3)/(D36*F36*F36))</f>
        <v>1.0374184151015677</v>
      </c>
    </row>
    <row r="131" spans="1:7">
      <c r="B131" s="8"/>
      <c r="C131" s="9"/>
    </row>
    <row r="132" spans="1:7" ht="15">
      <c r="B132" s="8"/>
      <c r="C132" s="9"/>
      <c r="D132" s="26" t="s">
        <v>118</v>
      </c>
      <c r="E132" s="27">
        <f>B129+2*F88*B44/B47</f>
        <v>68332.983874839338</v>
      </c>
      <c r="F132" s="25" t="s">
        <v>68</v>
      </c>
    </row>
    <row r="133" spans="1:7" ht="15">
      <c r="B133" s="8"/>
      <c r="C133" s="9"/>
      <c r="D133" s="26" t="s">
        <v>119</v>
      </c>
      <c r="E133" s="27">
        <f>B130+2*F89*B44/B47</f>
        <v>208477.0360849172</v>
      </c>
      <c r="F133" s="25" t="s">
        <v>68</v>
      </c>
      <c r="G133" s="27"/>
    </row>
    <row r="134" spans="1:7" ht="13.5" thickBot="1">
      <c r="A134" s="15"/>
      <c r="B134" s="15"/>
      <c r="C134" s="15"/>
      <c r="D134" s="15"/>
      <c r="E134" s="15"/>
      <c r="F134" s="15"/>
      <c r="G134" s="15"/>
    </row>
    <row r="135" spans="1:7">
      <c r="A135" s="17" t="s">
        <v>90</v>
      </c>
    </row>
    <row r="137" spans="1:7" ht="14.25">
      <c r="A137" s="8" t="s">
        <v>92</v>
      </c>
      <c r="B137" s="9">
        <f>E43*F42*B41*G137</f>
        <v>22833.6707541664</v>
      </c>
      <c r="C137" t="s">
        <v>68</v>
      </c>
      <c r="D137" s="13" t="s">
        <v>91</v>
      </c>
      <c r="G137" s="18">
        <v>0.19</v>
      </c>
    </row>
    <row r="138" spans="1:7" ht="14.25">
      <c r="A138" s="8" t="s">
        <v>93</v>
      </c>
      <c r="B138" s="9">
        <f>(E43*F42*B41*(G137+(G138*F37*(3/F139+D139*POWER(B38,2)/F139+3*F36/(D36*F139))+D139*D36/(F36*F139))))*F145*F146*F147</f>
        <v>89615.702129669924</v>
      </c>
      <c r="C138" t="s">
        <v>68</v>
      </c>
      <c r="D138" s="13" t="s">
        <v>94</v>
      </c>
      <c r="G138" s="18">
        <v>0.25</v>
      </c>
    </row>
    <row r="139" spans="1:7">
      <c r="C139" s="14" t="s">
        <v>95</v>
      </c>
      <c r="D139" s="6">
        <f>3.4/(PI()*(1-D42))</f>
        <v>1.4430048173665178</v>
      </c>
      <c r="E139" s="14" t="s">
        <v>96</v>
      </c>
      <c r="F139" s="6">
        <f>1+POWER(B38,2)</f>
        <v>5.2576434835118686</v>
      </c>
    </row>
    <row r="140" spans="1:7" ht="14.25">
      <c r="E140" s="14" t="s">
        <v>146</v>
      </c>
      <c r="F140" s="6">
        <f>G46*POWER(B38,0.6)*POWER(F37,0.1)</f>
        <v>0.51947351843470724</v>
      </c>
      <c r="G140" s="6"/>
    </row>
    <row r="141" spans="1:7" ht="15">
      <c r="B141" s="26" t="s">
        <v>120</v>
      </c>
      <c r="C141" s="27">
        <f>B138+2*F102*B44/B47</f>
        <v>173471.94237758877</v>
      </c>
      <c r="D141" s="25" t="s">
        <v>68</v>
      </c>
    </row>
    <row r="142" spans="1:7" ht="13.5" thickBot="1">
      <c r="A142" s="15"/>
      <c r="B142" s="15"/>
      <c r="C142" s="15"/>
      <c r="D142" s="15"/>
      <c r="E142" s="15"/>
      <c r="F142" s="15"/>
      <c r="G142" s="15"/>
    </row>
    <row r="143" spans="1:7">
      <c r="A143" s="10" t="s">
        <v>100</v>
      </c>
    </row>
    <row r="145" spans="1:7">
      <c r="A145" s="13" t="s">
        <v>140</v>
      </c>
      <c r="E145" s="13" t="s">
        <v>103</v>
      </c>
      <c r="F145" s="18">
        <v>1</v>
      </c>
    </row>
    <row r="146" spans="1:7">
      <c r="A146" s="13" t="s">
        <v>104</v>
      </c>
      <c r="E146" s="13" t="s">
        <v>105</v>
      </c>
      <c r="F146" s="18">
        <v>1</v>
      </c>
    </row>
    <row r="147" spans="1:7">
      <c r="A147" s="13" t="s">
        <v>102</v>
      </c>
      <c r="E147" s="13" t="s">
        <v>101</v>
      </c>
      <c r="F147" s="20">
        <f>IF(D45&lt;B46,0,1)</f>
        <v>1</v>
      </c>
    </row>
    <row r="148" spans="1:7" ht="13.5" thickBot="1">
      <c r="A148" s="15"/>
      <c r="B148" s="15"/>
      <c r="C148" s="15"/>
      <c r="D148" s="15"/>
      <c r="E148" s="15"/>
      <c r="F148" s="15"/>
      <c r="G148" s="15"/>
    </row>
    <row r="150" spans="1:7">
      <c r="A150" s="10" t="s">
        <v>131</v>
      </c>
    </row>
    <row r="152" spans="1:7">
      <c r="A152" s="13" t="s">
        <v>121</v>
      </c>
    </row>
    <row r="154" spans="1:7">
      <c r="A154" s="29" t="s">
        <v>122</v>
      </c>
      <c r="B154" s="29" t="s">
        <v>123</v>
      </c>
      <c r="C154" s="29" t="s">
        <v>124</v>
      </c>
    </row>
    <row r="155" spans="1:7" ht="15.75">
      <c r="B155" s="29" t="s">
        <v>125</v>
      </c>
      <c r="C155" s="29" t="s">
        <v>125</v>
      </c>
      <c r="D155" s="14" t="s">
        <v>130</v>
      </c>
      <c r="E155" s="32">
        <f>(B158+B156)/2</f>
        <v>5.6950000000000003</v>
      </c>
      <c r="F155" s="14" t="s">
        <v>132</v>
      </c>
      <c r="G155" s="32">
        <f>(C158+C156)/2</f>
        <v>2.76</v>
      </c>
    </row>
    <row r="156" spans="1:7" ht="15.75">
      <c r="A156" s="19">
        <v>1</v>
      </c>
      <c r="B156" s="19">
        <v>0</v>
      </c>
      <c r="C156" s="19">
        <v>0</v>
      </c>
      <c r="D156" s="14" t="s">
        <v>126</v>
      </c>
      <c r="E156" s="32">
        <f>(B156+B157)/2</f>
        <v>0</v>
      </c>
      <c r="F156" s="14" t="s">
        <v>150</v>
      </c>
      <c r="G156" s="33">
        <f>(C156+C157)/2</f>
        <v>2.76</v>
      </c>
    </row>
    <row r="157" spans="1:7" ht="15.75">
      <c r="A157" s="19">
        <v>2</v>
      </c>
      <c r="B157" s="19">
        <v>0</v>
      </c>
      <c r="C157" s="19">
        <f>B35</f>
        <v>5.52</v>
      </c>
      <c r="D157" s="14" t="s">
        <v>127</v>
      </c>
      <c r="E157" s="32">
        <f>(B157+B158)/2</f>
        <v>5.6950000000000003</v>
      </c>
      <c r="F157" s="14" t="s">
        <v>151</v>
      </c>
      <c r="G157" s="32">
        <f>(C157+C158)/2</f>
        <v>5.52</v>
      </c>
    </row>
    <row r="158" spans="1:7" ht="15.75">
      <c r="A158" s="19">
        <v>3</v>
      </c>
      <c r="B158" s="19">
        <f>D35</f>
        <v>11.39</v>
      </c>
      <c r="C158" s="19">
        <f>C157</f>
        <v>5.52</v>
      </c>
      <c r="D158" s="14" t="s">
        <v>128</v>
      </c>
      <c r="E158" s="32">
        <f>(B158+B159)/2</f>
        <v>11.39</v>
      </c>
      <c r="F158" s="14" t="s">
        <v>152</v>
      </c>
      <c r="G158" s="32">
        <f>(C158+C159)/2</f>
        <v>2.76</v>
      </c>
    </row>
    <row r="159" spans="1:7" ht="15.75">
      <c r="A159" s="19">
        <v>4</v>
      </c>
      <c r="B159" s="19">
        <f>B158</f>
        <v>11.39</v>
      </c>
      <c r="C159" s="19">
        <v>0</v>
      </c>
      <c r="D159" s="14" t="s">
        <v>129</v>
      </c>
      <c r="E159" s="32">
        <f>(B159+B156)/2</f>
        <v>5.6950000000000003</v>
      </c>
      <c r="F159" s="14" t="s">
        <v>153</v>
      </c>
      <c r="G159" s="32">
        <f>(C159+C160)/2</f>
        <v>0</v>
      </c>
    </row>
    <row r="160" spans="1:7">
      <c r="A160" s="19">
        <f>A156</f>
        <v>1</v>
      </c>
      <c r="B160" s="19">
        <f>B156</f>
        <v>0</v>
      </c>
      <c r="C160" s="19">
        <f>C156</f>
        <v>0</v>
      </c>
    </row>
    <row r="162" spans="1:6">
      <c r="A162" s="13" t="s">
        <v>136</v>
      </c>
    </row>
    <row r="163" spans="1:6" ht="15">
      <c r="A163" s="8" t="s">
        <v>137</v>
      </c>
      <c r="B163" s="30">
        <f>(C157-C156)*B36</f>
        <v>8.831999999999999</v>
      </c>
    </row>
    <row r="164" spans="1:6" ht="15">
      <c r="A164" s="8" t="s">
        <v>138</v>
      </c>
      <c r="B164" s="30">
        <f>(B158-B157)*B36</f>
        <v>18.224</v>
      </c>
    </row>
    <row r="165" spans="1:6" ht="15">
      <c r="A165" s="8" t="s">
        <v>139</v>
      </c>
      <c r="B165" s="30">
        <f>(C158-C159)*B36</f>
        <v>8.831999999999999</v>
      </c>
    </row>
    <row r="166" spans="1:6" ht="15">
      <c r="A166" s="8" t="s">
        <v>164</v>
      </c>
      <c r="B166" s="30">
        <f>(B159-B160)*B36</f>
        <v>18.224</v>
      </c>
      <c r="C166" t="str">
        <f>IF(SUM(B163:B166)=D39,"…ok","Checar datos")</f>
        <v>…ok</v>
      </c>
    </row>
    <row r="168" spans="1:6">
      <c r="A168" s="11" t="s">
        <v>154</v>
      </c>
    </row>
    <row r="169" spans="1:6" ht="15">
      <c r="B169" s="8" t="s">
        <v>147</v>
      </c>
      <c r="C169" s="34">
        <f>B163*B56</f>
        <v>3260.8825594189434</v>
      </c>
    </row>
    <row r="170" spans="1:6" ht="15">
      <c r="B170" s="8" t="s">
        <v>155</v>
      </c>
      <c r="C170" s="34">
        <f>B164*B56</f>
        <v>6728.5239767720595</v>
      </c>
      <c r="E170" s="8" t="s">
        <v>148</v>
      </c>
      <c r="F170" s="32">
        <f>(C169*E156+C170*E157+C171*E158+C172*E159+B54*E155)/B53</f>
        <v>5.6950000000000003</v>
      </c>
    </row>
    <row r="171" spans="1:6" ht="15">
      <c r="B171" s="8" t="s">
        <v>156</v>
      </c>
      <c r="C171" s="34">
        <f>B165*B56</f>
        <v>3260.8825594189434</v>
      </c>
      <c r="E171" s="8" t="s">
        <v>149</v>
      </c>
      <c r="F171" s="32">
        <f>(C169*G156+C170*G157+C171*G158+C172*G159+B54*G155)/B53</f>
        <v>2.76</v>
      </c>
    </row>
    <row r="172" spans="1:6" ht="15">
      <c r="B172" s="8" t="s">
        <v>157</v>
      </c>
      <c r="C172" s="34">
        <f>B166*B56</f>
        <v>6728.5239767720595</v>
      </c>
      <c r="D172" t="str">
        <f>IF(SUM(C169:C172)=B55,"…ok","Checa los datos")</f>
        <v>…ok</v>
      </c>
    </row>
    <row r="191" spans="1:3">
      <c r="A191" s="11" t="s">
        <v>158</v>
      </c>
    </row>
    <row r="192" spans="1:3" ht="14.25">
      <c r="A192" s="8" t="s">
        <v>163</v>
      </c>
      <c r="B192" s="1">
        <f>C64/D39</f>
        <v>18460.214411235174</v>
      </c>
      <c r="C192" s="13" t="s">
        <v>135</v>
      </c>
    </row>
    <row r="193" spans="1:6" ht="15">
      <c r="A193" s="8" t="s">
        <v>159</v>
      </c>
      <c r="B193" s="1">
        <f>B192*B163</f>
        <v>163040.61368002906</v>
      </c>
      <c r="C193" s="13" t="s">
        <v>135</v>
      </c>
    </row>
    <row r="194" spans="1:6" ht="15">
      <c r="A194" s="8" t="s">
        <v>160</v>
      </c>
      <c r="B194" s="1">
        <f>B192*B164</f>
        <v>336418.94743034983</v>
      </c>
      <c r="C194" s="13" t="s">
        <v>135</v>
      </c>
      <c r="D194" s="8" t="s">
        <v>165</v>
      </c>
      <c r="E194" s="32">
        <f>(B193*G156+B194*G157+B195*G158+B196*G159+F64*G155)/F65</f>
        <v>2.7599999999999993</v>
      </c>
    </row>
    <row r="195" spans="1:6" ht="15">
      <c r="A195" s="8" t="s">
        <v>161</v>
      </c>
      <c r="B195" s="1">
        <f>B192*B165</f>
        <v>163040.61368002906</v>
      </c>
      <c r="C195" s="13" t="s">
        <v>135</v>
      </c>
      <c r="D195" s="8" t="s">
        <v>175</v>
      </c>
      <c r="E195" s="32">
        <f>(B193*E199+B194*E200+B195*E201+B196*E202+F64*C198)/F65</f>
        <v>-0.8</v>
      </c>
    </row>
    <row r="196" spans="1:6" ht="15">
      <c r="A196" s="8" t="s">
        <v>162</v>
      </c>
      <c r="B196" s="1">
        <f>B192*B166</f>
        <v>336418.94743034983</v>
      </c>
      <c r="C196" s="13" t="s">
        <v>135</v>
      </c>
      <c r="D196" t="str">
        <f>IF(SUM(B193:B196)=C64,"…ok","Checa los datos")</f>
        <v>…ok</v>
      </c>
    </row>
    <row r="198" spans="1:6" ht="15.75">
      <c r="B198" s="14" t="s">
        <v>166</v>
      </c>
      <c r="C198" s="32">
        <f>-B36/2</f>
        <v>-0.8</v>
      </c>
    </row>
    <row r="199" spans="1:6" ht="15.75">
      <c r="B199" s="14" t="s">
        <v>171</v>
      </c>
      <c r="C199" s="35">
        <v>0</v>
      </c>
      <c r="D199" s="14" t="s">
        <v>167</v>
      </c>
      <c r="E199" s="32">
        <f>(C199-$B$36)/2</f>
        <v>-0.8</v>
      </c>
    </row>
    <row r="200" spans="1:6" ht="15.75">
      <c r="B200" s="14" t="s">
        <v>172</v>
      </c>
      <c r="C200" s="35">
        <v>0</v>
      </c>
      <c r="D200" s="14" t="s">
        <v>168</v>
      </c>
      <c r="E200" s="32">
        <f>(C200-$B$36)/2</f>
        <v>-0.8</v>
      </c>
    </row>
    <row r="201" spans="1:6" ht="15.75">
      <c r="B201" s="14" t="s">
        <v>173</v>
      </c>
      <c r="C201" s="35">
        <v>0</v>
      </c>
      <c r="D201" s="14" t="s">
        <v>169</v>
      </c>
      <c r="E201" s="32">
        <f>(C201-$B$36)/2</f>
        <v>-0.8</v>
      </c>
    </row>
    <row r="202" spans="1:6" ht="15.75">
      <c r="B202" s="14" t="s">
        <v>174</v>
      </c>
      <c r="C202" s="35">
        <v>0</v>
      </c>
      <c r="D202" s="14" t="s">
        <v>170</v>
      </c>
      <c r="E202" s="32">
        <f>(C202-$B$36)/2</f>
        <v>-0.8</v>
      </c>
    </row>
    <row r="203" spans="1:6">
      <c r="E203" s="32"/>
    </row>
    <row r="204" spans="1:6">
      <c r="A204" s="11" t="s">
        <v>176</v>
      </c>
    </row>
    <row r="205" spans="1:6" ht="14.25">
      <c r="B205" s="8" t="s">
        <v>177</v>
      </c>
      <c r="C205" s="1">
        <f>C68/D39</f>
        <v>17437.067227011317</v>
      </c>
      <c r="D205" s="13" t="s">
        <v>135</v>
      </c>
    </row>
    <row r="206" spans="1:6" ht="15">
      <c r="B206" s="8" t="s">
        <v>178</v>
      </c>
      <c r="C206" s="1">
        <f>C205*B163</f>
        <v>154004.17774896394</v>
      </c>
      <c r="D206" s="13" t="s">
        <v>135</v>
      </c>
    </row>
    <row r="207" spans="1:6" ht="15">
      <c r="B207" s="8" t="s">
        <v>179</v>
      </c>
      <c r="C207" s="1">
        <f>C205*B164</f>
        <v>317773.11314505426</v>
      </c>
      <c r="D207" s="13" t="s">
        <v>135</v>
      </c>
      <c r="E207" s="8" t="s">
        <v>182</v>
      </c>
      <c r="F207" s="32">
        <f>(C206*E156+C207*E157+C208*E158+C209*E159+F68*E155)/F69</f>
        <v>5.6950000000000003</v>
      </c>
    </row>
    <row r="208" spans="1:6" ht="15">
      <c r="B208" s="8" t="s">
        <v>180</v>
      </c>
      <c r="C208" s="1">
        <f>C205*B165</f>
        <v>154004.17774896394</v>
      </c>
      <c r="D208" s="13" t="s">
        <v>135</v>
      </c>
      <c r="E208" s="8" t="s">
        <v>239</v>
      </c>
      <c r="F208" s="32">
        <f>(C206*E199+C207*E200+C208*E201+C209*E202+F68*C198)/F69</f>
        <v>-0.8</v>
      </c>
    </row>
    <row r="209" spans="1:6" ht="15">
      <c r="B209" s="8" t="s">
        <v>181</v>
      </c>
      <c r="C209" s="1">
        <f>C205*B166</f>
        <v>317773.11314505426</v>
      </c>
      <c r="D209" s="13" t="s">
        <v>135</v>
      </c>
      <c r="E209" t="str">
        <f>IF(SUM(C206:C209)=C68,"…ok","Checa los datos")</f>
        <v>…ok</v>
      </c>
    </row>
    <row r="211" spans="1:6">
      <c r="A211" t="s">
        <v>183</v>
      </c>
    </row>
    <row r="213" spans="1:6">
      <c r="A213" t="s">
        <v>184</v>
      </c>
    </row>
    <row r="214" spans="1:6">
      <c r="A214" t="s">
        <v>192</v>
      </c>
      <c r="B214" s="19" t="s">
        <v>191</v>
      </c>
      <c r="C214" s="19" t="s">
        <v>194</v>
      </c>
      <c r="D214" s="19" t="s">
        <v>195</v>
      </c>
    </row>
    <row r="215" spans="1:6">
      <c r="A215" t="s">
        <v>193</v>
      </c>
      <c r="B215" s="42">
        <v>2.36</v>
      </c>
      <c r="C215" s="42">
        <v>4.07</v>
      </c>
      <c r="D215" s="42">
        <v>2.44</v>
      </c>
    </row>
    <row r="216" spans="1:6">
      <c r="A216" t="s">
        <v>190</v>
      </c>
      <c r="B216" s="36">
        <f>B35</f>
        <v>5.52</v>
      </c>
      <c r="C216" s="42">
        <v>1.1200000000000001</v>
      </c>
      <c r="D216" s="42">
        <v>2.44</v>
      </c>
    </row>
    <row r="218" spans="1:6">
      <c r="A218" s="37" t="s">
        <v>185</v>
      </c>
      <c r="B218" s="37" t="s">
        <v>186</v>
      </c>
      <c r="C218" s="37" t="s">
        <v>123</v>
      </c>
      <c r="D218" s="37" t="s">
        <v>124</v>
      </c>
      <c r="E218" s="37" t="s">
        <v>187</v>
      </c>
      <c r="F218" s="37" t="s">
        <v>188</v>
      </c>
    </row>
    <row r="219" spans="1:6">
      <c r="A219" s="37" t="s">
        <v>189</v>
      </c>
      <c r="B219" s="4">
        <f>B39*E41</f>
        <v>119.45831999999999</v>
      </c>
      <c r="C219" s="36">
        <f>F170</f>
        <v>5.6950000000000003</v>
      </c>
      <c r="D219" s="36">
        <f>F171</f>
        <v>2.76</v>
      </c>
      <c r="E219" s="1">
        <f>B219*2.4*C219</f>
        <v>1632.7563177599998</v>
      </c>
      <c r="F219" s="1">
        <f>B219*2.4*D219</f>
        <v>791.29191167999977</v>
      </c>
    </row>
    <row r="220" spans="1:6">
      <c r="A220" s="10" t="s">
        <v>193</v>
      </c>
      <c r="B220" s="4">
        <f>B215*C215*D215</f>
        <v>23.436688</v>
      </c>
      <c r="C220" s="36">
        <f>C215/2</f>
        <v>2.0350000000000001</v>
      </c>
      <c r="D220" s="36">
        <f>D219</f>
        <v>2.76</v>
      </c>
      <c r="E220" s="1">
        <f>B220*2.4*C220</f>
        <v>114.46478419200001</v>
      </c>
      <c r="F220" s="1">
        <f>B220*2.4*D220</f>
        <v>155.24462131199999</v>
      </c>
    </row>
    <row r="221" spans="1:6">
      <c r="A221" s="10" t="s">
        <v>190</v>
      </c>
      <c r="B221" s="4">
        <f>B216*C216*D216</f>
        <v>15.085056</v>
      </c>
      <c r="C221" s="36">
        <f>E158-C216/2</f>
        <v>10.83</v>
      </c>
      <c r="D221" s="36">
        <f>D220</f>
        <v>2.76</v>
      </c>
      <c r="E221" s="1">
        <f>B221*2.4*C221</f>
        <v>392.09077555200003</v>
      </c>
      <c r="F221" s="1">
        <f>B221*2.4*D221</f>
        <v>99.923410943999997</v>
      </c>
    </row>
    <row r="222" spans="1:6">
      <c r="A222" s="10" t="s">
        <v>201</v>
      </c>
      <c r="B222" s="45">
        <v>15.5</v>
      </c>
      <c r="C222" s="36">
        <f>C220</f>
        <v>2.0350000000000001</v>
      </c>
      <c r="D222" s="36">
        <f>D220</f>
        <v>2.76</v>
      </c>
      <c r="E222" s="1">
        <f>B222*C222</f>
        <v>31.542500000000004</v>
      </c>
      <c r="F222" s="1">
        <f>B222*D222</f>
        <v>42.779999999999994</v>
      </c>
    </row>
    <row r="223" spans="1:6">
      <c r="A223" s="10" t="s">
        <v>200</v>
      </c>
      <c r="B223" s="45">
        <v>22</v>
      </c>
      <c r="C223" s="36">
        <f>C219</f>
        <v>5.6950000000000003</v>
      </c>
      <c r="D223" s="36">
        <f>D219</f>
        <v>2.76</v>
      </c>
      <c r="E223" s="1">
        <f>B223*C223</f>
        <v>125.29</v>
      </c>
      <c r="F223" s="1">
        <f>B223*D223</f>
        <v>60.72</v>
      </c>
    </row>
    <row r="224" spans="1:6">
      <c r="A224" s="10" t="s">
        <v>199</v>
      </c>
      <c r="B224" s="45">
        <v>21.25</v>
      </c>
      <c r="C224" s="36">
        <f>C223</f>
        <v>5.6950000000000003</v>
      </c>
      <c r="D224" s="36">
        <f>D223</f>
        <v>2.76</v>
      </c>
      <c r="E224" s="1">
        <f>B224*C224</f>
        <v>121.01875000000001</v>
      </c>
      <c r="F224" s="1">
        <f>B224*D224</f>
        <v>58.65</v>
      </c>
    </row>
    <row r="225" spans="1:6">
      <c r="A225" s="29" t="s">
        <v>196</v>
      </c>
      <c r="B225" s="4">
        <f>SUM(B219:B221)*2.4+SUM(B222:B224)</f>
        <v>437.90215359999996</v>
      </c>
      <c r="C225" s="19"/>
      <c r="D225" s="19"/>
      <c r="E225" s="1">
        <f>SUM(E219:E224)</f>
        <v>2417.1631275039999</v>
      </c>
      <c r="F225" s="1">
        <f>SUM(F219:F224)</f>
        <v>1208.6099439359998</v>
      </c>
    </row>
    <row r="227" spans="1:6">
      <c r="A227" s="10" t="s">
        <v>202</v>
      </c>
      <c r="D227" s="14" t="s">
        <v>197</v>
      </c>
      <c r="E227" s="36">
        <f>E225/B225</f>
        <v>5.5198703811627023</v>
      </c>
    </row>
    <row r="228" spans="1:6">
      <c r="D228" s="14" t="s">
        <v>198</v>
      </c>
      <c r="E228" s="36">
        <f>F225/B225</f>
        <v>2.76</v>
      </c>
    </row>
    <row r="230" spans="1:6">
      <c r="A230" s="13" t="s">
        <v>220</v>
      </c>
      <c r="C230" s="36">
        <f>E155-E227</f>
        <v>0.17512961883729794</v>
      </c>
    </row>
    <row r="231" spans="1:6">
      <c r="A231" s="13" t="s">
        <v>221</v>
      </c>
      <c r="C231" s="36">
        <f>G155-E228</f>
        <v>0</v>
      </c>
    </row>
    <row r="232" spans="1:6">
      <c r="A232" s="13" t="s">
        <v>206</v>
      </c>
      <c r="C232" s="14" t="s">
        <v>203</v>
      </c>
      <c r="D232" s="38">
        <f>B225*ABS(E228-G155)</f>
        <v>0</v>
      </c>
      <c r="E232" s="13" t="s">
        <v>205</v>
      </c>
    </row>
    <row r="233" spans="1:6">
      <c r="C233" s="14" t="s">
        <v>204</v>
      </c>
      <c r="D233" s="38">
        <f>B225*C230</f>
        <v>76.689637247999883</v>
      </c>
      <c r="E233" s="13" t="s">
        <v>205</v>
      </c>
    </row>
    <row r="234" spans="1:6">
      <c r="A234" s="13" t="s">
        <v>207</v>
      </c>
    </row>
    <row r="235" spans="1:6" ht="14.25">
      <c r="C235" s="8" t="s">
        <v>210</v>
      </c>
      <c r="D235" s="9">
        <f>(B225/B39)+D232*D36/B40</f>
        <v>6.9648902800575128</v>
      </c>
      <c r="E235" s="10" t="s">
        <v>11</v>
      </c>
    </row>
    <row r="236" spans="1:6" ht="14.25">
      <c r="C236" s="8" t="s">
        <v>211</v>
      </c>
      <c r="D236" s="9">
        <f>(B225/B39)+D233*F36/E40</f>
        <v>7.6074321132392901</v>
      </c>
      <c r="E236" s="10" t="s">
        <v>11</v>
      </c>
    </row>
    <row r="238" spans="1:6">
      <c r="A238" s="10" t="s">
        <v>212</v>
      </c>
    </row>
    <row r="240" spans="1:6" ht="15.75">
      <c r="A240" s="13" t="s">
        <v>216</v>
      </c>
      <c r="C240" s="14" t="s">
        <v>217</v>
      </c>
      <c r="D240">
        <f>C241*B242*POWER(B47,2)</f>
        <v>0.3613199469049877</v>
      </c>
    </row>
    <row r="241" spans="1:4">
      <c r="A241" s="13" t="s">
        <v>213</v>
      </c>
      <c r="B241" s="43">
        <v>1</v>
      </c>
      <c r="C241">
        <f>B241*28.7/1000/1000</f>
        <v>2.87E-5</v>
      </c>
      <c r="D241" s="13" t="s">
        <v>214</v>
      </c>
    </row>
    <row r="242" spans="1:4">
      <c r="A242" s="13" t="s">
        <v>215</v>
      </c>
      <c r="B242" s="42">
        <v>1.45</v>
      </c>
    </row>
    <row r="244" spans="1:4">
      <c r="A244" s="13" t="s">
        <v>218</v>
      </c>
    </row>
    <row r="246" spans="1:4">
      <c r="A246" s="29" t="s">
        <v>219</v>
      </c>
      <c r="B246" s="29" t="s">
        <v>255</v>
      </c>
      <c r="C246" s="29" t="s">
        <v>256</v>
      </c>
      <c r="D246" s="29" t="s">
        <v>259</v>
      </c>
    </row>
    <row r="247" spans="1:4">
      <c r="A247">
        <v>0</v>
      </c>
      <c r="B247" s="47">
        <f t="shared" ref="B247:B267" si="0">$D$240*COS(-$B$47*A247)</f>
        <v>0.3613199469049877</v>
      </c>
      <c r="C247" s="47">
        <f t="shared" ref="C247:C267" si="1">$D$240*SIN(-$B$47*A247)</f>
        <v>0</v>
      </c>
      <c r="D247" s="47">
        <f>SQRT(POWER(B247,2)+POWER(C247,2))</f>
        <v>0.3613199469049877</v>
      </c>
    </row>
    <row r="248" spans="1:4">
      <c r="A248">
        <v>1</v>
      </c>
      <c r="B248" s="47">
        <f t="shared" si="0"/>
        <v>0.17406721194771191</v>
      </c>
      <c r="C248" s="47">
        <f t="shared" si="1"/>
        <v>0.31662708310593629</v>
      </c>
      <c r="D248" s="47">
        <f t="shared" ref="D248:D267" si="2">SQRT(POWER(B248,2)+POWER(C248,2))</f>
        <v>0.3613199469049877</v>
      </c>
    </row>
    <row r="249" spans="1:4">
      <c r="A249">
        <v>2</v>
      </c>
      <c r="B249" s="47">
        <f t="shared" si="0"/>
        <v>-0.1936049091120858</v>
      </c>
      <c r="C249" s="47">
        <f t="shared" si="1"/>
        <v>0.30507252121278328</v>
      </c>
      <c r="D249" s="47">
        <f t="shared" si="2"/>
        <v>0.3613199469049877</v>
      </c>
    </row>
    <row r="250" spans="1:4">
      <c r="A250">
        <v>3</v>
      </c>
      <c r="B250" s="47">
        <f t="shared" si="0"/>
        <v>-0.36060696452546109</v>
      </c>
      <c r="C250" s="47">
        <f t="shared" si="1"/>
        <v>-2.2687467182477033E-2</v>
      </c>
      <c r="D250" s="47">
        <f t="shared" si="2"/>
        <v>0.3613199469049877</v>
      </c>
    </row>
    <row r="251" spans="1:4">
      <c r="A251">
        <v>4</v>
      </c>
      <c r="B251" s="47">
        <f t="shared" si="0"/>
        <v>-0.15384255102152453</v>
      </c>
      <c r="C251" s="47">
        <f t="shared" si="1"/>
        <v>-0.32693206255522378</v>
      </c>
      <c r="D251" s="47">
        <f t="shared" si="2"/>
        <v>0.3613199469049877</v>
      </c>
    </row>
    <row r="252" spans="1:4">
      <c r="A252">
        <v>5</v>
      </c>
      <c r="B252" s="47">
        <f t="shared" si="0"/>
        <v>0.21237853614986327</v>
      </c>
      <c r="C252" s="47">
        <f t="shared" si="1"/>
        <v>-0.29231397745277998</v>
      </c>
      <c r="D252" s="47">
        <f t="shared" si="2"/>
        <v>0.3613199469049877</v>
      </c>
    </row>
    <row r="253" spans="1:4">
      <c r="A253">
        <v>6</v>
      </c>
      <c r="B253" s="47">
        <f t="shared" si="0"/>
        <v>0.35847083120260265</v>
      </c>
      <c r="C253" s="47">
        <f t="shared" si="1"/>
        <v>4.5285397296902577E-2</v>
      </c>
      <c r="D253" s="47">
        <f t="shared" si="2"/>
        <v>0.3613199469049877</v>
      </c>
    </row>
    <row r="254" spans="1:4">
      <c r="A254">
        <v>7</v>
      </c>
      <c r="B254" s="47">
        <f t="shared" si="0"/>
        <v>0.13301074383043077</v>
      </c>
      <c r="C254" s="47">
        <f t="shared" si="1"/>
        <v>0.3359467905146567</v>
      </c>
      <c r="D254" s="47">
        <f t="shared" si="2"/>
        <v>0.3613199469049877</v>
      </c>
    </row>
    <row r="255" spans="1:4">
      <c r="A255">
        <v>8</v>
      </c>
      <c r="B255" s="47">
        <f t="shared" si="0"/>
        <v>-0.23031400213198036</v>
      </c>
      <c r="C255" s="47">
        <f t="shared" si="1"/>
        <v>0.27840180396932285</v>
      </c>
      <c r="D255" s="47">
        <f t="shared" si="2"/>
        <v>0.3613199469049877</v>
      </c>
    </row>
    <row r="256" spans="1:4">
      <c r="A256">
        <v>9</v>
      </c>
      <c r="B256" s="47">
        <f t="shared" si="0"/>
        <v>-0.35491997727873109</v>
      </c>
      <c r="C256" s="47">
        <f t="shared" si="1"/>
        <v>-6.7704606637127185E-2</v>
      </c>
      <c r="D256" s="47">
        <f t="shared" si="2"/>
        <v>0.3613199469049877</v>
      </c>
    </row>
    <row r="257" spans="1:7">
      <c r="A257">
        <v>10</v>
      </c>
      <c r="B257" s="47">
        <f t="shared" si="0"/>
        <v>-0.11165400400026654</v>
      </c>
      <c r="C257" s="47">
        <f t="shared" si="1"/>
        <v>-0.34363568997141669</v>
      </c>
      <c r="D257" s="47">
        <f t="shared" si="2"/>
        <v>0.3613199469049877</v>
      </c>
    </row>
    <row r="258" spans="1:7">
      <c r="A258">
        <v>11</v>
      </c>
      <c r="B258" s="47">
        <f t="shared" si="0"/>
        <v>0.24734052396814071</v>
      </c>
      <c r="C258" s="47">
        <f t="shared" si="1"/>
        <v>-0.26339090575528373</v>
      </c>
      <c r="D258" s="47">
        <f t="shared" si="2"/>
        <v>0.3613199469049877</v>
      </c>
    </row>
    <row r="259" spans="1:7">
      <c r="A259">
        <v>12</v>
      </c>
      <c r="B259" s="47">
        <f t="shared" si="0"/>
        <v>0.34996841635205328</v>
      </c>
      <c r="C259" s="47">
        <f t="shared" si="1"/>
        <v>8.9856616826247376E-2</v>
      </c>
      <c r="D259" s="47">
        <f t="shared" si="2"/>
        <v>0.36131994690498775</v>
      </c>
    </row>
    <row r="260" spans="1:7">
      <c r="A260">
        <v>13</v>
      </c>
      <c r="B260" s="47">
        <f t="shared" si="0"/>
        <v>8.985661682617517E-2</v>
      </c>
      <c r="C260" s="47">
        <f t="shared" si="1"/>
        <v>0.34996841635207182</v>
      </c>
      <c r="D260" s="47">
        <f t="shared" si="2"/>
        <v>0.36131994690498775</v>
      </c>
    </row>
    <row r="261" spans="1:7">
      <c r="A261">
        <v>14</v>
      </c>
      <c r="B261" s="47">
        <f t="shared" si="0"/>
        <v>-0.26339090575533475</v>
      </c>
      <c r="C261" s="47">
        <f t="shared" si="1"/>
        <v>0.24734052396808634</v>
      </c>
      <c r="D261" s="47">
        <f t="shared" si="2"/>
        <v>0.3613199469049877</v>
      </c>
    </row>
    <row r="262" spans="1:7">
      <c r="A262">
        <v>15</v>
      </c>
      <c r="B262" s="47">
        <f t="shared" si="0"/>
        <v>-0.34363568997139365</v>
      </c>
      <c r="C262" s="47">
        <f t="shared" si="1"/>
        <v>-0.11165400400033741</v>
      </c>
      <c r="D262" s="47">
        <f t="shared" si="2"/>
        <v>0.3613199469049877</v>
      </c>
    </row>
    <row r="263" spans="1:7">
      <c r="A263">
        <v>16</v>
      </c>
      <c r="B263" s="47">
        <f t="shared" si="0"/>
        <v>-6.7704606637053952E-2</v>
      </c>
      <c r="C263" s="47">
        <f t="shared" si="1"/>
        <v>-0.35491997727874508</v>
      </c>
      <c r="D263" s="47">
        <f t="shared" si="2"/>
        <v>0.3613199469049877</v>
      </c>
    </row>
    <row r="264" spans="1:7">
      <c r="A264">
        <v>17</v>
      </c>
      <c r="B264" s="47">
        <f t="shared" si="0"/>
        <v>0.27840180396937036</v>
      </c>
      <c r="C264" s="47">
        <f t="shared" si="1"/>
        <v>-0.23031400213192293</v>
      </c>
      <c r="D264" s="47">
        <f t="shared" si="2"/>
        <v>0.3613199469049877</v>
      </c>
    </row>
    <row r="265" spans="1:7">
      <c r="A265">
        <v>18</v>
      </c>
      <c r="B265" s="47">
        <f t="shared" si="0"/>
        <v>0.33594679051462928</v>
      </c>
      <c r="C265" s="47">
        <f t="shared" si="1"/>
        <v>0.1330107438305001</v>
      </c>
      <c r="D265" s="47">
        <f t="shared" si="2"/>
        <v>0.3613199469049877</v>
      </c>
    </row>
    <row r="266" spans="1:7">
      <c r="A266">
        <v>19</v>
      </c>
      <c r="B266" s="47">
        <f t="shared" si="0"/>
        <v>4.5285397296828629E-2</v>
      </c>
      <c r="C266" s="47">
        <f t="shared" si="1"/>
        <v>0.35847083120261197</v>
      </c>
      <c r="D266" s="47">
        <f t="shared" si="2"/>
        <v>0.3613199469049877</v>
      </c>
    </row>
    <row r="267" spans="1:7">
      <c r="A267">
        <v>20</v>
      </c>
      <c r="B267" s="47">
        <f t="shared" si="0"/>
        <v>-0.29231397745282378</v>
      </c>
      <c r="C267" s="47">
        <f t="shared" si="1"/>
        <v>0.21237853614980293</v>
      </c>
      <c r="D267" s="47">
        <f t="shared" si="2"/>
        <v>0.3613199469049877</v>
      </c>
    </row>
    <row r="268" spans="1:7">
      <c r="B268" s="47"/>
      <c r="C268" s="47"/>
      <c r="D268" s="47"/>
    </row>
    <row r="269" spans="1:7">
      <c r="A269" t="s">
        <v>243</v>
      </c>
    </row>
    <row r="271" spans="1:7">
      <c r="B271" s="47">
        <v>0</v>
      </c>
      <c r="C271" s="46"/>
      <c r="D271" s="46"/>
      <c r="E271" s="46"/>
      <c r="F271" s="46"/>
      <c r="G271" s="46"/>
    </row>
    <row r="272" spans="1:7">
      <c r="B272" s="47">
        <f>D240</f>
        <v>0.3613199469049877</v>
      </c>
      <c r="C272" s="46"/>
      <c r="D272" s="46"/>
      <c r="E272" s="46"/>
      <c r="F272" s="46"/>
      <c r="G272" s="46"/>
    </row>
    <row r="273" spans="1:7">
      <c r="A273" s="55" t="s">
        <v>262</v>
      </c>
      <c r="B273" s="47">
        <f>D240</f>
        <v>0.3613199469049877</v>
      </c>
      <c r="C273" s="46"/>
      <c r="D273" s="46"/>
      <c r="E273" s="46"/>
      <c r="F273" s="46"/>
      <c r="G273" s="46"/>
    </row>
    <row r="274" spans="1:7">
      <c r="A274" s="56"/>
      <c r="B274" s="47">
        <v>0</v>
      </c>
      <c r="C274" s="46"/>
      <c r="D274" s="46"/>
      <c r="E274" s="46"/>
      <c r="F274" s="46"/>
      <c r="G274" s="46"/>
    </row>
    <row r="275" spans="1:7">
      <c r="B275" s="47">
        <f>F271</f>
        <v>0</v>
      </c>
      <c r="C275" s="46"/>
      <c r="D275" s="46"/>
      <c r="E275" s="46"/>
      <c r="F275" s="46"/>
      <c r="G275" s="46"/>
    </row>
    <row r="276" spans="1:7">
      <c r="B276" s="47">
        <f>G271</f>
        <v>0</v>
      </c>
      <c r="C276" s="46"/>
      <c r="D276" s="46"/>
      <c r="E276" s="46"/>
      <c r="F276" s="46"/>
      <c r="G276" s="46"/>
    </row>
    <row r="278" spans="1:7">
      <c r="A278" t="s">
        <v>222</v>
      </c>
    </row>
    <row r="279" spans="1:7">
      <c r="A279" s="13" t="s">
        <v>231</v>
      </c>
    </row>
    <row r="280" spans="1:7">
      <c r="A280" s="29" t="s">
        <v>185</v>
      </c>
      <c r="B280" s="29" t="s">
        <v>223</v>
      </c>
      <c r="C280" s="29" t="s">
        <v>224</v>
      </c>
      <c r="D280" s="29" t="s">
        <v>225</v>
      </c>
      <c r="E280" s="29" t="s">
        <v>228</v>
      </c>
      <c r="F280" s="29" t="s">
        <v>226</v>
      </c>
    </row>
    <row r="281" spans="1:7">
      <c r="A281" s="29" t="s">
        <v>189</v>
      </c>
      <c r="B281" s="4">
        <f>B219*2.4/9.81</f>
        <v>29.225277064220176</v>
      </c>
      <c r="C281" s="6">
        <f>(POWER(B216,2)+POWER(E41,2))/12</f>
        <v>2.840033333333333</v>
      </c>
      <c r="D281" s="24">
        <v>0</v>
      </c>
      <c r="E281" s="1">
        <f>B281*D281</f>
        <v>0</v>
      </c>
      <c r="F281" s="1">
        <f>C281*B281+E281</f>
        <v>83.000761038287436</v>
      </c>
    </row>
    <row r="282" spans="1:7">
      <c r="A282" s="13" t="s">
        <v>199</v>
      </c>
      <c r="B282" s="4">
        <f>B224/9.81</f>
        <v>2.1661569826707439</v>
      </c>
      <c r="C282" s="6">
        <f>106.25/9.81</f>
        <v>10.830784913353719</v>
      </c>
      <c r="D282" s="6">
        <v>5.33</v>
      </c>
      <c r="E282" s="1">
        <f t="shared" ref="E282" si="3">B282*D282</f>
        <v>11.545616717635065</v>
      </c>
      <c r="F282" s="1">
        <f>C282+E282</f>
        <v>22.376401630988784</v>
      </c>
    </row>
    <row r="283" spans="1:7">
      <c r="A283" s="29" t="s">
        <v>196</v>
      </c>
      <c r="B283" s="4">
        <f>SUM(B281:B282)</f>
        <v>31.391434046890922</v>
      </c>
      <c r="C283" s="6"/>
      <c r="D283" s="19"/>
      <c r="E283" s="44" t="s">
        <v>230</v>
      </c>
      <c r="F283" s="1">
        <f>SUM(F281:F282)</f>
        <v>105.37716266927622</v>
      </c>
      <c r="G283" s="13" t="s">
        <v>229</v>
      </c>
    </row>
    <row r="285" spans="1:7">
      <c r="A285" s="13" t="s">
        <v>232</v>
      </c>
    </row>
    <row r="286" spans="1:7">
      <c r="A286" s="29" t="s">
        <v>185</v>
      </c>
      <c r="B286" s="29" t="s">
        <v>223</v>
      </c>
      <c r="C286" s="29" t="s">
        <v>224</v>
      </c>
      <c r="D286" s="29" t="s">
        <v>225</v>
      </c>
      <c r="E286" s="29" t="s">
        <v>228</v>
      </c>
      <c r="F286" s="29" t="s">
        <v>226</v>
      </c>
    </row>
    <row r="287" spans="1:7">
      <c r="A287" s="29" t="s">
        <v>189</v>
      </c>
      <c r="B287" s="4">
        <f>B281</f>
        <v>29.225277064220176</v>
      </c>
      <c r="C287" s="6">
        <f>(POWER(D35,2)+POWER(E41,2))/12</f>
        <v>11.111841666666669</v>
      </c>
      <c r="D287" s="24">
        <v>0</v>
      </c>
      <c r="E287" s="1">
        <f>B287*D287</f>
        <v>0</v>
      </c>
      <c r="F287" s="1">
        <f>C287*B287+E287</f>
        <v>324.74665140207946</v>
      </c>
    </row>
    <row r="288" spans="1:7">
      <c r="A288" s="13" t="s">
        <v>199</v>
      </c>
      <c r="B288" s="4">
        <f t="shared" ref="B288" si="4">B282</f>
        <v>2.1661569826707439</v>
      </c>
      <c r="C288" s="6">
        <f>106.25/9.81</f>
        <v>10.830784913353719</v>
      </c>
      <c r="D288" s="6">
        <v>5.33</v>
      </c>
      <c r="E288" s="1">
        <f t="shared" ref="E288" si="5">B288*D288</f>
        <v>11.545616717635065</v>
      </c>
      <c r="F288" s="1">
        <f>C288+E288</f>
        <v>22.376401630988784</v>
      </c>
    </row>
    <row r="289" spans="1:7">
      <c r="A289" s="29" t="s">
        <v>196</v>
      </c>
      <c r="B289" s="4">
        <f>SUM(B287:B288)</f>
        <v>31.391434046890922</v>
      </c>
      <c r="C289" s="6"/>
      <c r="D289" s="19"/>
      <c r="E289" s="44" t="s">
        <v>230</v>
      </c>
      <c r="F289" s="1">
        <f>SUM(F287:F288)</f>
        <v>347.12305303306823</v>
      </c>
      <c r="G289" s="13" t="s">
        <v>229</v>
      </c>
    </row>
    <row r="290" spans="1:7">
      <c r="A290" s="29"/>
      <c r="B290" s="4"/>
      <c r="C290" s="6"/>
      <c r="D290" s="19"/>
      <c r="E290" s="44"/>
      <c r="F290" s="1"/>
      <c r="G290" s="13"/>
    </row>
    <row r="291" spans="1:7">
      <c r="A291" s="29"/>
      <c r="B291" s="4"/>
      <c r="C291" s="6"/>
      <c r="D291" s="19"/>
      <c r="E291" s="44"/>
      <c r="F291" s="1"/>
      <c r="G291" s="13"/>
    </row>
    <row r="292" spans="1:7">
      <c r="A292" s="13" t="s">
        <v>233</v>
      </c>
    </row>
    <row r="293" spans="1:7">
      <c r="A293" s="29" t="s">
        <v>185</v>
      </c>
      <c r="B293" s="29" t="s">
        <v>223</v>
      </c>
      <c r="C293" s="29" t="s">
        <v>224</v>
      </c>
      <c r="D293" s="29" t="s">
        <v>225</v>
      </c>
      <c r="E293" s="29" t="s">
        <v>228</v>
      </c>
      <c r="F293" s="29" t="s">
        <v>226</v>
      </c>
    </row>
    <row r="294" spans="1:7">
      <c r="A294" s="29" t="s">
        <v>189</v>
      </c>
      <c r="B294" s="4">
        <f>B287</f>
        <v>29.225277064220176</v>
      </c>
      <c r="C294" s="6">
        <f>(POWER(D35,2)+POWER(B35,2))/12</f>
        <v>13.350208333333333</v>
      </c>
      <c r="D294" s="24">
        <v>0</v>
      </c>
      <c r="E294" s="1">
        <f>B294*D294</f>
        <v>0</v>
      </c>
      <c r="F294" s="1">
        <f>C294*B294+E294</f>
        <v>390.1635374067277</v>
      </c>
    </row>
    <row r="295" spans="1:7">
      <c r="A295" s="29" t="s">
        <v>196</v>
      </c>
      <c r="B295" s="4">
        <f>SUM(B294:B294)</f>
        <v>29.225277064220176</v>
      </c>
      <c r="C295" s="6"/>
      <c r="D295" s="19"/>
      <c r="E295" s="44" t="s">
        <v>230</v>
      </c>
      <c r="F295" s="1">
        <f>SUM(F294:F294)</f>
        <v>390.1635374067277</v>
      </c>
      <c r="G295" s="13" t="s">
        <v>229</v>
      </c>
    </row>
    <row r="296" spans="1:7">
      <c r="A296" s="29"/>
      <c r="B296" s="4"/>
      <c r="C296" s="6"/>
      <c r="D296" s="19"/>
      <c r="E296" s="44"/>
      <c r="F296" s="1"/>
      <c r="G296" s="13"/>
    </row>
    <row r="297" spans="1:7">
      <c r="A297" s="13" t="s">
        <v>235</v>
      </c>
      <c r="C297" s="4">
        <f>B283+(B220+B221)*2.4/9.81</f>
        <v>40.815713924566765</v>
      </c>
      <c r="D297" s="13" t="s">
        <v>236</v>
      </c>
    </row>
    <row r="298" spans="1:7">
      <c r="A298" s="13" t="s">
        <v>234</v>
      </c>
      <c r="C298" s="4"/>
      <c r="D298" s="13"/>
      <c r="E298" s="13"/>
    </row>
    <row r="300" spans="1:7">
      <c r="B300" s="4">
        <f>C297</f>
        <v>40.815713924566765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</row>
    <row r="301" spans="1:7">
      <c r="B301" s="19">
        <v>0</v>
      </c>
      <c r="C301" s="4">
        <f>C297</f>
        <v>40.815713924566765</v>
      </c>
      <c r="D301" s="19">
        <v>0</v>
      </c>
      <c r="E301" s="19">
        <v>0</v>
      </c>
      <c r="F301" s="19">
        <v>0</v>
      </c>
      <c r="G301" s="19">
        <v>0</v>
      </c>
    </row>
    <row r="302" spans="1:7">
      <c r="A302" s="55" t="s">
        <v>237</v>
      </c>
      <c r="B302" s="19">
        <v>0</v>
      </c>
      <c r="C302" s="19">
        <v>0</v>
      </c>
      <c r="D302" s="4">
        <f>C297</f>
        <v>40.815713924566765</v>
      </c>
      <c r="E302" s="19">
        <v>0</v>
      </c>
      <c r="F302" s="19">
        <v>0</v>
      </c>
      <c r="G302" s="19">
        <v>0</v>
      </c>
    </row>
    <row r="303" spans="1:7">
      <c r="A303" s="56"/>
      <c r="B303" s="19">
        <v>0</v>
      </c>
      <c r="C303" s="19">
        <v>0</v>
      </c>
      <c r="D303" s="19">
        <v>0</v>
      </c>
      <c r="E303" s="4">
        <f>F283</f>
        <v>105.37716266927622</v>
      </c>
      <c r="F303" s="19">
        <v>0</v>
      </c>
      <c r="G303" s="19">
        <v>0</v>
      </c>
    </row>
    <row r="304" spans="1:7">
      <c r="B304" s="19">
        <v>0</v>
      </c>
      <c r="C304" s="19">
        <v>0</v>
      </c>
      <c r="D304" s="19">
        <v>0</v>
      </c>
      <c r="E304" s="19">
        <v>0</v>
      </c>
      <c r="F304" s="4">
        <f>F289</f>
        <v>347.12305303306823</v>
      </c>
      <c r="G304" s="19">
        <v>0</v>
      </c>
    </row>
    <row r="305" spans="1:7">
      <c r="B305" s="19">
        <v>0</v>
      </c>
      <c r="C305" s="19">
        <v>0</v>
      </c>
      <c r="D305" s="19">
        <v>0</v>
      </c>
      <c r="E305" s="19">
        <v>0</v>
      </c>
      <c r="F305" s="19">
        <v>0</v>
      </c>
      <c r="G305" s="6">
        <f>B41</f>
        <v>839.36497850000001</v>
      </c>
    </row>
    <row r="307" spans="1:7">
      <c r="A307" s="13" t="s">
        <v>238</v>
      </c>
    </row>
    <row r="309" spans="1:7">
      <c r="B309" s="46">
        <f>D80</f>
        <v>3323308.8709671879</v>
      </c>
      <c r="C309" s="46">
        <v>0</v>
      </c>
      <c r="D309" s="46">
        <v>0</v>
      </c>
      <c r="E309" s="46">
        <v>0</v>
      </c>
      <c r="F309" s="46">
        <f>D80*E195</f>
        <v>-2658647.0967737506</v>
      </c>
      <c r="G309" s="46">
        <f>-D80*E194</f>
        <v>-9172332.4838694371</v>
      </c>
    </row>
    <row r="310" spans="1:7">
      <c r="B310" s="46">
        <v>0</v>
      </c>
      <c r="C310" s="46">
        <f>D81</f>
        <v>3508817.7194541567</v>
      </c>
      <c r="D310" s="46">
        <v>0</v>
      </c>
      <c r="E310" s="46">
        <f>-D81*F208</f>
        <v>2807054.1755633256</v>
      </c>
      <c r="F310" s="46">
        <v>0</v>
      </c>
      <c r="G310" s="46">
        <f>D81*F207</f>
        <v>19982716.912291422</v>
      </c>
    </row>
    <row r="311" spans="1:7">
      <c r="A311" s="55" t="s">
        <v>242</v>
      </c>
      <c r="B311" s="46">
        <v>0</v>
      </c>
      <c r="C311" s="46">
        <v>0</v>
      </c>
      <c r="D311" s="46">
        <f>C60</f>
        <v>2480103.9533550488</v>
      </c>
      <c r="E311" s="46">
        <f>C60*F171</f>
        <v>6845086.9112599343</v>
      </c>
      <c r="F311" s="46">
        <f>-C60*F170</f>
        <v>-14124192.014357004</v>
      </c>
      <c r="G311" s="46">
        <v>0</v>
      </c>
    </row>
    <row r="312" spans="1:7">
      <c r="A312" s="56"/>
      <c r="B312" s="46">
        <v>0</v>
      </c>
      <c r="C312" s="46">
        <f>E310</f>
        <v>2807054.1755633256</v>
      </c>
      <c r="D312" s="46">
        <f>E311</f>
        <v>6845086.9112599343</v>
      </c>
      <c r="E312" s="46">
        <f>D91+D81*POWER(F208,2)+C60*POWER(F171,2)</f>
        <v>57997866.178966209</v>
      </c>
      <c r="F312" s="46">
        <f>C60*F170*F171</f>
        <v>38982769.959625326</v>
      </c>
      <c r="G312" s="46">
        <f>-D81*F207*F208</f>
        <v>15986173.529833138</v>
      </c>
    </row>
    <row r="313" spans="1:7">
      <c r="B313" s="46">
        <f>F309</f>
        <v>-2658647.0967737506</v>
      </c>
      <c r="C313" s="46">
        <v>0</v>
      </c>
      <c r="D313" s="46">
        <f>F311</f>
        <v>-14124192.014357004</v>
      </c>
      <c r="E313" s="46">
        <f>F312</f>
        <v>38982769.959625326</v>
      </c>
      <c r="F313" s="46">
        <f>D92+D80*POWER(E195,2)+C60*POWER(F170,2)</f>
        <v>174657101.36544245</v>
      </c>
      <c r="G313" s="46">
        <f>-D80*E194*E195</f>
        <v>7337865.9870955497</v>
      </c>
    </row>
    <row r="314" spans="1:7">
      <c r="B314" s="46">
        <f>G309</f>
        <v>-9172332.4838694371</v>
      </c>
      <c r="C314" s="46">
        <f>G310</f>
        <v>19982716.912291422</v>
      </c>
      <c r="D314" s="46">
        <v>0</v>
      </c>
      <c r="E314" s="46">
        <f>G312</f>
        <v>15986173.529833138</v>
      </c>
      <c r="F314" s="46">
        <f>G313</f>
        <v>7337865.9870955497</v>
      </c>
      <c r="G314" s="46">
        <f>E104+D80*POWER(E194,2)+D81*POWER(F207,2)</f>
        <v>269094935.02996725</v>
      </c>
    </row>
    <row r="316" spans="1:7">
      <c r="B316" s="46">
        <f>B300*POWER($B$47,2)</f>
        <v>354380.18954976881</v>
      </c>
      <c r="C316" s="46">
        <f t="shared" ref="C316:G316" si="6">C300*POWER($B$47,2)</f>
        <v>0</v>
      </c>
      <c r="D316" s="46">
        <f t="shared" si="6"/>
        <v>0</v>
      </c>
      <c r="E316" s="46">
        <f t="shared" si="6"/>
        <v>0</v>
      </c>
      <c r="F316" s="46">
        <f t="shared" si="6"/>
        <v>0</v>
      </c>
      <c r="G316" s="46">
        <f t="shared" si="6"/>
        <v>0</v>
      </c>
    </row>
    <row r="317" spans="1:7">
      <c r="B317" s="46">
        <f t="shared" ref="B317:G321" si="7">B301*POWER($B$47,2)</f>
        <v>0</v>
      </c>
      <c r="C317" s="46">
        <f t="shared" si="7"/>
        <v>354380.18954976881</v>
      </c>
      <c r="D317" s="46">
        <f t="shared" si="7"/>
        <v>0</v>
      </c>
      <c r="E317" s="46">
        <f t="shared" si="7"/>
        <v>0</v>
      </c>
      <c r="F317" s="46">
        <f t="shared" si="7"/>
        <v>0</v>
      </c>
      <c r="G317" s="46">
        <f t="shared" si="7"/>
        <v>0</v>
      </c>
    </row>
    <row r="318" spans="1:7">
      <c r="A318" s="55" t="s">
        <v>240</v>
      </c>
      <c r="B318" s="46">
        <f t="shared" si="7"/>
        <v>0</v>
      </c>
      <c r="C318" s="46">
        <f t="shared" si="7"/>
        <v>0</v>
      </c>
      <c r="D318" s="46">
        <f t="shared" si="7"/>
        <v>354380.18954976881</v>
      </c>
      <c r="E318" s="46">
        <f t="shared" si="7"/>
        <v>0</v>
      </c>
      <c r="F318" s="46">
        <f t="shared" si="7"/>
        <v>0</v>
      </c>
      <c r="G318" s="46">
        <f t="shared" si="7"/>
        <v>0</v>
      </c>
    </row>
    <row r="319" spans="1:7">
      <c r="A319" s="56"/>
      <c r="B319" s="46">
        <f t="shared" si="7"/>
        <v>0</v>
      </c>
      <c r="C319" s="46">
        <f t="shared" si="7"/>
        <v>0</v>
      </c>
      <c r="D319" s="46">
        <f t="shared" si="7"/>
        <v>0</v>
      </c>
      <c r="E319" s="46">
        <f t="shared" si="7"/>
        <v>914931.41465003323</v>
      </c>
      <c r="F319" s="46">
        <f t="shared" si="7"/>
        <v>0</v>
      </c>
      <c r="G319" s="46">
        <f t="shared" si="7"/>
        <v>0</v>
      </c>
    </row>
    <row r="320" spans="1:7">
      <c r="B320" s="46">
        <f t="shared" si="7"/>
        <v>0</v>
      </c>
      <c r="C320" s="46">
        <f t="shared" si="7"/>
        <v>0</v>
      </c>
      <c r="D320" s="46">
        <f t="shared" si="7"/>
        <v>0</v>
      </c>
      <c r="E320" s="46">
        <f t="shared" si="7"/>
        <v>0</v>
      </c>
      <c r="F320" s="46">
        <f t="shared" si="7"/>
        <v>3013876.8014275008</v>
      </c>
      <c r="G320" s="46">
        <f t="shared" si="7"/>
        <v>0</v>
      </c>
    </row>
    <row r="321" spans="1:7">
      <c r="B321" s="46">
        <f t="shared" si="7"/>
        <v>0</v>
      </c>
      <c r="C321" s="46">
        <f t="shared" si="7"/>
        <v>0</v>
      </c>
      <c r="D321" s="46">
        <f t="shared" si="7"/>
        <v>0</v>
      </c>
      <c r="E321" s="46">
        <f t="shared" si="7"/>
        <v>0</v>
      </c>
      <c r="F321" s="46">
        <f t="shared" si="7"/>
        <v>0</v>
      </c>
      <c r="G321" s="46">
        <f t="shared" si="7"/>
        <v>7287740.2250516908</v>
      </c>
    </row>
    <row r="323" spans="1:7">
      <c r="B323" s="46">
        <f t="shared" ref="B323:G328" si="8">B309-B316</f>
        <v>2968928.6814174191</v>
      </c>
      <c r="C323" s="46">
        <f t="shared" si="8"/>
        <v>0</v>
      </c>
      <c r="D323" s="46">
        <f t="shared" si="8"/>
        <v>0</v>
      </c>
      <c r="E323" s="46">
        <f t="shared" si="8"/>
        <v>0</v>
      </c>
      <c r="F323" s="46">
        <f t="shared" si="8"/>
        <v>-2658647.0967737506</v>
      </c>
      <c r="G323" s="46">
        <f t="shared" si="8"/>
        <v>-9172332.4838694371</v>
      </c>
    </row>
    <row r="324" spans="1:7">
      <c r="B324" s="46">
        <f t="shared" si="8"/>
        <v>0</v>
      </c>
      <c r="C324" s="46">
        <f t="shared" si="8"/>
        <v>3154437.5299043879</v>
      </c>
      <c r="D324" s="46">
        <f t="shared" si="8"/>
        <v>0</v>
      </c>
      <c r="E324" s="46">
        <f t="shared" si="8"/>
        <v>2807054.1755633256</v>
      </c>
      <c r="F324" s="46">
        <f t="shared" si="8"/>
        <v>0</v>
      </c>
      <c r="G324" s="46">
        <f t="shared" si="8"/>
        <v>19982716.912291422</v>
      </c>
    </row>
    <row r="325" spans="1:7">
      <c r="A325" s="55" t="s">
        <v>241</v>
      </c>
      <c r="B325" s="46">
        <f t="shared" si="8"/>
        <v>0</v>
      </c>
      <c r="C325" s="46">
        <f t="shared" si="8"/>
        <v>0</v>
      </c>
      <c r="D325" s="46">
        <f t="shared" si="8"/>
        <v>2125723.76380528</v>
      </c>
      <c r="E325" s="46">
        <f t="shared" si="8"/>
        <v>6845086.9112599343</v>
      </c>
      <c r="F325" s="46">
        <f t="shared" si="8"/>
        <v>-14124192.014357004</v>
      </c>
      <c r="G325" s="46">
        <f t="shared" si="8"/>
        <v>0</v>
      </c>
    </row>
    <row r="326" spans="1:7">
      <c r="A326" s="56"/>
      <c r="B326" s="46">
        <f t="shared" si="8"/>
        <v>0</v>
      </c>
      <c r="C326" s="46">
        <f t="shared" si="8"/>
        <v>2807054.1755633256</v>
      </c>
      <c r="D326" s="46">
        <f t="shared" si="8"/>
        <v>6845086.9112599343</v>
      </c>
      <c r="E326" s="46">
        <f t="shared" si="8"/>
        <v>57082934.764316179</v>
      </c>
      <c r="F326" s="46">
        <f t="shared" si="8"/>
        <v>38982769.959625326</v>
      </c>
      <c r="G326" s="46">
        <f t="shared" si="8"/>
        <v>15986173.529833138</v>
      </c>
    </row>
    <row r="327" spans="1:7">
      <c r="B327" s="46">
        <f t="shared" si="8"/>
        <v>-2658647.0967737506</v>
      </c>
      <c r="C327" s="46">
        <f t="shared" si="8"/>
        <v>0</v>
      </c>
      <c r="D327" s="46">
        <f t="shared" si="8"/>
        <v>-14124192.014357004</v>
      </c>
      <c r="E327" s="46">
        <f t="shared" si="8"/>
        <v>38982769.959625326</v>
      </c>
      <c r="F327" s="46">
        <f t="shared" si="8"/>
        <v>171643224.56401494</v>
      </c>
      <c r="G327" s="46">
        <f t="shared" si="8"/>
        <v>7337865.9870955497</v>
      </c>
    </row>
    <row r="328" spans="1:7">
      <c r="B328" s="46">
        <f t="shared" si="8"/>
        <v>-9172332.4838694371</v>
      </c>
      <c r="C328" s="46">
        <f t="shared" si="8"/>
        <v>19982716.912291422</v>
      </c>
      <c r="D328" s="46">
        <f t="shared" si="8"/>
        <v>0</v>
      </c>
      <c r="E328" s="46">
        <f t="shared" si="8"/>
        <v>15986173.529833138</v>
      </c>
      <c r="F328" s="46">
        <f t="shared" si="8"/>
        <v>7337865.9870955497</v>
      </c>
      <c r="G328" s="46">
        <f t="shared" si="8"/>
        <v>261807194.80491555</v>
      </c>
    </row>
    <row r="329" spans="1:7">
      <c r="B329" s="4"/>
      <c r="C329" s="4"/>
      <c r="D329" s="4"/>
      <c r="E329" s="4"/>
      <c r="F329" s="4"/>
      <c r="G329" s="4"/>
    </row>
    <row r="330" spans="1:7">
      <c r="B330" s="51">
        <f t="array" ref="B330:G335">MINVERSE(B323:G328)</f>
        <v>4.2191276556689736E-7</v>
      </c>
      <c r="C330" s="51">
        <v>-1.9854369218458457E-7</v>
      </c>
      <c r="D330" s="51">
        <v>-8.7091645585499977E-8</v>
      </c>
      <c r="E330" s="51">
        <v>1.5779310440865725E-8</v>
      </c>
      <c r="F330" s="51">
        <v>-5.4602790166073988E-9</v>
      </c>
      <c r="G330" s="51">
        <v>2.912518338956738E-8</v>
      </c>
    </row>
    <row r="331" spans="1:7">
      <c r="B331" s="51">
        <v>-1.9854369218458516E-7</v>
      </c>
      <c r="C331" s="51">
        <v>6.7831970795592957E-7</v>
      </c>
      <c r="D331" s="51">
        <v>-1.6573695574746273E-7</v>
      </c>
      <c r="E331" s="51">
        <v>1.5116774646379557E-8</v>
      </c>
      <c r="F331" s="51">
        <v>-1.7617669658398157E-8</v>
      </c>
      <c r="G331" s="51">
        <v>-5.915865968731175E-8</v>
      </c>
    </row>
    <row r="332" spans="1:7" ht="14.25">
      <c r="A332" s="29" t="s">
        <v>261</v>
      </c>
      <c r="B332" s="51">
        <v>-8.709164558549991E-8</v>
      </c>
      <c r="C332" s="51">
        <v>-1.6573695574746281E-7</v>
      </c>
      <c r="D332" s="51">
        <v>-7.755194967357141E-7</v>
      </c>
      <c r="E332" s="51">
        <v>1.7178221411236337E-7</v>
      </c>
      <c r="F332" s="51">
        <v>-1.0426621477537821E-7</v>
      </c>
      <c r="G332" s="51">
        <v>2.0320005567061019E-9</v>
      </c>
    </row>
    <row r="333" spans="1:7">
      <c r="B333" s="51">
        <v>1.5779310440865708E-8</v>
      </c>
      <c r="C333" s="51">
        <v>1.5116774646379567E-8</v>
      </c>
      <c r="D333" s="51">
        <v>1.7178221411236337E-7</v>
      </c>
      <c r="E333" s="51">
        <v>-1.6112844421455662E-8</v>
      </c>
      <c r="F333" s="51">
        <v>1.8044764190843274E-8</v>
      </c>
      <c r="G333" s="51">
        <v>-1.2287088252184709E-10</v>
      </c>
    </row>
    <row r="334" spans="1:7">
      <c r="B334" s="51">
        <v>-5.4602790166073922E-9</v>
      </c>
      <c r="C334" s="51">
        <v>-1.761766965839816E-8</v>
      </c>
      <c r="D334" s="51">
        <v>-1.0426621477537821E-7</v>
      </c>
      <c r="E334" s="51">
        <v>1.8044764190843271E-8</v>
      </c>
      <c r="F334" s="51">
        <v>-6.9471720032404581E-9</v>
      </c>
      <c r="G334" s="51">
        <v>2.4627320261539337E-10</v>
      </c>
    </row>
    <row r="335" spans="1:7">
      <c r="B335" s="51">
        <v>2.9125183389567403E-8</v>
      </c>
      <c r="C335" s="51">
        <v>-5.9158659687311757E-8</v>
      </c>
      <c r="D335" s="51">
        <v>2.0320005567060903E-9</v>
      </c>
      <c r="E335" s="51">
        <v>-1.2287088252184526E-10</v>
      </c>
      <c r="F335" s="51">
        <v>2.4627320261539275E-10</v>
      </c>
      <c r="G335" s="51">
        <v>9.3559450589693438E-9</v>
      </c>
    </row>
    <row r="336" spans="1:7">
      <c r="B336" s="4"/>
      <c r="C336" s="4"/>
      <c r="D336" s="4"/>
      <c r="E336" s="4"/>
      <c r="F336" s="4"/>
      <c r="G336" s="4"/>
    </row>
    <row r="337" spans="1:7">
      <c r="A337" s="13" t="s">
        <v>244</v>
      </c>
    </row>
    <row r="338" spans="1:7">
      <c r="A338" s="14" t="s">
        <v>245</v>
      </c>
      <c r="B338" s="54">
        <f t="array" ref="B338:B343">MMULT(B330:G335,B271:B276)</f>
        <v>-1.0320574507727518E-7</v>
      </c>
      <c r="C338" s="13" t="s">
        <v>251</v>
      </c>
      <c r="D338" s="52">
        <f>B338*100000/2.54</f>
        <v>-4.0632183101289437E-3</v>
      </c>
      <c r="E338" s="13" t="s">
        <v>257</v>
      </c>
      <c r="F338" s="50">
        <f>D338/1000</f>
        <v>-4.0632183101289439E-6</v>
      </c>
      <c r="G338" s="13" t="s">
        <v>258</v>
      </c>
    </row>
    <row r="339" spans="1:7">
      <c r="A339" s="14" t="s">
        <v>260</v>
      </c>
      <c r="B339" s="54">
        <v>1.8520637281237572E-7</v>
      </c>
      <c r="C339" s="13" t="s">
        <v>251</v>
      </c>
      <c r="D339" s="52">
        <f t="shared" ref="D339:D340" si="9">B339*100000/2.54</f>
        <v>7.2915894808021934E-3</v>
      </c>
      <c r="E339" s="13" t="s">
        <v>257</v>
      </c>
      <c r="F339" s="50">
        <f>D339/1000</f>
        <v>7.2915894808021933E-6</v>
      </c>
      <c r="G339" s="13" t="s">
        <v>258</v>
      </c>
    </row>
    <row r="340" spans="1:7">
      <c r="A340" s="14" t="s">
        <v>246</v>
      </c>
      <c r="B340" s="54">
        <v>-3.4009473143519857E-7</v>
      </c>
      <c r="C340" s="13" t="s">
        <v>251</v>
      </c>
      <c r="D340" s="52">
        <f t="shared" si="9"/>
        <v>-1.3389556355716477E-2</v>
      </c>
      <c r="E340" s="13" t="s">
        <v>257</v>
      </c>
      <c r="F340" s="50">
        <f>D340/1000</f>
        <v>-1.3389556355716478E-5</v>
      </c>
      <c r="G340" s="13" t="s">
        <v>258</v>
      </c>
    </row>
    <row r="341" spans="1:7" ht="15.75">
      <c r="A341" s="14" t="s">
        <v>247</v>
      </c>
      <c r="B341" s="53">
        <v>6.7530332694904887E-8</v>
      </c>
      <c r="C341" s="13" t="s">
        <v>250</v>
      </c>
      <c r="D341" s="53">
        <f>DEGREES(B341)</f>
        <v>3.8692030525323651E-6</v>
      </c>
      <c r="E341" s="13" t="s">
        <v>252</v>
      </c>
      <c r="F341" s="14" t="s">
        <v>253</v>
      </c>
      <c r="G341">
        <f>SIN(B341)</f>
        <v>6.7530332694904834E-8</v>
      </c>
    </row>
    <row r="342" spans="1:7" ht="15.75">
      <c r="A342" s="14" t="s">
        <v>248</v>
      </c>
      <c r="B342" s="53">
        <v>-4.4039078652185736E-8</v>
      </c>
      <c r="C342" s="13" t="s">
        <v>250</v>
      </c>
      <c r="D342" s="53">
        <f t="shared" ref="D342:D343" si="10">DEGREES(B342)</f>
        <v>-2.5232533404149248E-6</v>
      </c>
      <c r="E342" s="13" t="s">
        <v>252</v>
      </c>
      <c r="F342" s="14" t="s">
        <v>253</v>
      </c>
      <c r="G342">
        <f t="shared" ref="G342:G343" si="11">SIN(B342)</f>
        <v>-4.4039078652185723E-8</v>
      </c>
    </row>
    <row r="343" spans="1:7" ht="15.75">
      <c r="A343" s="14" t="s">
        <v>249</v>
      </c>
      <c r="B343" s="53">
        <v>-2.0641001443929769E-8</v>
      </c>
      <c r="C343" s="13" t="s">
        <v>250</v>
      </c>
      <c r="D343" s="53">
        <f t="shared" si="10"/>
        <v>-1.1826422676606139E-6</v>
      </c>
      <c r="E343" s="13" t="s">
        <v>252</v>
      </c>
      <c r="F343" s="14" t="s">
        <v>253</v>
      </c>
      <c r="G343">
        <f t="shared" si="11"/>
        <v>-2.0641001443929769E-8</v>
      </c>
    </row>
    <row r="344" spans="1:7">
      <c r="A344" s="20"/>
    </row>
    <row r="345" spans="1:7">
      <c r="A345" s="14"/>
      <c r="B345" s="48"/>
      <c r="C345" s="13"/>
      <c r="D345" s="49"/>
      <c r="E345" s="13"/>
      <c r="F345" s="50"/>
      <c r="G345" s="13"/>
    </row>
    <row r="346" spans="1:7">
      <c r="A346" s="14"/>
      <c r="B346" s="48"/>
      <c r="C346" s="13"/>
      <c r="D346" s="49"/>
      <c r="E346" s="13"/>
      <c r="F346" s="50"/>
      <c r="G346" s="13"/>
    </row>
    <row r="347" spans="1:7">
      <c r="A347" s="14"/>
      <c r="B347" s="48"/>
      <c r="C347" s="13"/>
      <c r="D347" s="49"/>
      <c r="E347" s="13"/>
      <c r="F347" s="50"/>
      <c r="G347" s="13"/>
    </row>
    <row r="348" spans="1:7">
      <c r="A348" s="14"/>
      <c r="B348" s="48"/>
      <c r="C348" s="13"/>
      <c r="E348" s="13"/>
      <c r="F348" s="14"/>
    </row>
    <row r="349" spans="1:7">
      <c r="A349" s="14"/>
      <c r="B349" s="48"/>
      <c r="C349" s="13"/>
      <c r="E349" s="13"/>
      <c r="F349" s="14"/>
    </row>
    <row r="350" spans="1:7">
      <c r="A350" s="14"/>
      <c r="B350" s="48"/>
      <c r="C350" s="13"/>
      <c r="E350" s="13"/>
      <c r="F350" s="14"/>
    </row>
  </sheetData>
  <mergeCells count="6">
    <mergeCell ref="A325:A326"/>
    <mergeCell ref="A2:G3"/>
    <mergeCell ref="A273:A274"/>
    <mergeCell ref="A302:A303"/>
    <mergeCell ref="A311:A312"/>
    <mergeCell ref="A318:A319"/>
  </mergeCells>
  <pageMargins left="0.98425196850393704" right="0.74803149606299213" top="0.98425196850393704" bottom="0.78740157480314965" header="0.39370078740157483" footer="0.39370078740157483"/>
  <pageSetup scale="98" orientation="portrait" horizontalDpi="4294967293" r:id="rId1"/>
  <headerFooter alignWithMargins="0">
    <oddHeader>&amp;CTesis de Maestría</oddHeader>
    <oddFooter>&amp;CIng Ulises Talonia Vargas</oddFooter>
  </headerFooter>
  <rowBreaks count="5" manualBreakCount="5">
    <brk id="48" max="16383" man="1"/>
    <brk id="93" max="6" man="1"/>
    <brk id="142" max="6" man="1"/>
    <brk id="190" max="6" man="1"/>
    <brk id="237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350"/>
  <sheetViews>
    <sheetView topLeftCell="A34" zoomScaleSheetLayoutView="100" workbookViewId="0">
      <selection activeCell="F46" sqref="F46"/>
    </sheetView>
  </sheetViews>
  <sheetFormatPr baseColWidth="10" defaultRowHeight="12.75"/>
  <cols>
    <col min="1" max="1" width="8.7109375" customWidth="1"/>
    <col min="2" max="2" width="12.7109375" customWidth="1"/>
    <col min="3" max="3" width="13.7109375" customWidth="1"/>
    <col min="4" max="4" width="12.7109375" customWidth="1"/>
    <col min="5" max="5" width="12.7109375" bestFit="1" customWidth="1"/>
    <col min="6" max="6" width="14.42578125" customWidth="1"/>
    <col min="7" max="7" width="12.42578125" customWidth="1"/>
    <col min="9" max="9" width="13" bestFit="1" customWidth="1"/>
  </cols>
  <sheetData>
    <row r="2" spans="1:7" ht="18" customHeight="1">
      <c r="A2" s="57" t="s">
        <v>0</v>
      </c>
      <c r="B2" s="58"/>
      <c r="C2" s="58"/>
      <c r="D2" s="58"/>
      <c r="E2" s="58"/>
      <c r="F2" s="58"/>
      <c r="G2" s="58"/>
    </row>
    <row r="3" spans="1:7" ht="18" customHeight="1">
      <c r="A3" s="58"/>
      <c r="B3" s="58"/>
      <c r="C3" s="58"/>
      <c r="D3" s="58"/>
      <c r="E3" s="58"/>
      <c r="F3" s="58"/>
      <c r="G3" s="58"/>
    </row>
    <row r="5" spans="1:7">
      <c r="A5" t="s">
        <v>1</v>
      </c>
    </row>
    <row r="33" spans="1:8" ht="13.5" thickBot="1">
      <c r="A33" s="21"/>
      <c r="B33" s="39" t="s">
        <v>106</v>
      </c>
      <c r="C33" s="21"/>
      <c r="D33" s="21"/>
      <c r="E33" s="21"/>
      <c r="F33" s="21"/>
      <c r="G33" s="21"/>
    </row>
    <row r="35" spans="1:8">
      <c r="A35" s="2" t="s">
        <v>2</v>
      </c>
      <c r="B35" s="40">
        <v>5.52</v>
      </c>
      <c r="C35" s="2" t="s">
        <v>3</v>
      </c>
      <c r="D35" s="40">
        <v>11.39</v>
      </c>
      <c r="E35" s="2" t="s">
        <v>17</v>
      </c>
      <c r="F35" s="40">
        <v>1.6</v>
      </c>
    </row>
    <row r="36" spans="1:8">
      <c r="A36" s="2" t="s">
        <v>33</v>
      </c>
      <c r="B36" s="40">
        <v>1.6</v>
      </c>
      <c r="C36" s="2" t="s">
        <v>20</v>
      </c>
      <c r="D36" s="36">
        <f>B35/2</f>
        <v>2.76</v>
      </c>
      <c r="E36" s="2" t="s">
        <v>21</v>
      </c>
      <c r="F36" s="36">
        <f>D35/2</f>
        <v>5.6950000000000003</v>
      </c>
    </row>
    <row r="37" spans="1:8">
      <c r="A37" s="2" t="s">
        <v>35</v>
      </c>
      <c r="B37" s="6">
        <f>B35/D35</f>
        <v>0.48463564530289721</v>
      </c>
      <c r="C37" s="2" t="s">
        <v>36</v>
      </c>
      <c r="D37" s="6">
        <f>F35/D36</f>
        <v>0.57971014492753636</v>
      </c>
      <c r="E37" s="16" t="s">
        <v>51</v>
      </c>
      <c r="F37" s="6">
        <f>B36/D36</f>
        <v>0.57971014492753636</v>
      </c>
    </row>
    <row r="38" spans="1:8">
      <c r="A38" s="2" t="s">
        <v>37</v>
      </c>
      <c r="B38" s="6">
        <f>F36/D36</f>
        <v>2.0634057971014497</v>
      </c>
      <c r="C38" s="16" t="s">
        <v>52</v>
      </c>
      <c r="D38" s="6">
        <f>B36/F36</f>
        <v>0.28094820017559263</v>
      </c>
      <c r="E38" s="14" t="s">
        <v>53</v>
      </c>
      <c r="F38" s="6">
        <f>F35/B36</f>
        <v>1</v>
      </c>
    </row>
    <row r="39" spans="1:8" ht="15.75">
      <c r="A39" s="2" t="s">
        <v>19</v>
      </c>
      <c r="B39" s="41">
        <f>B35*D35</f>
        <v>62.872799999999998</v>
      </c>
      <c r="C39" s="2" t="s">
        <v>18</v>
      </c>
      <c r="D39" s="41">
        <f>2*(D35+B35)*B36</f>
        <v>54.112000000000002</v>
      </c>
      <c r="E39" s="2" t="s">
        <v>27</v>
      </c>
      <c r="F39" s="6">
        <f>B39/(D35*D35)</f>
        <v>0.48463564530289727</v>
      </c>
    </row>
    <row r="40" spans="1:8" ht="15.75">
      <c r="A40" s="14" t="s">
        <v>45</v>
      </c>
      <c r="B40" s="6">
        <f>D35*POWER(B35,3)/12</f>
        <v>159.64661375999998</v>
      </c>
      <c r="C40" s="13" t="s">
        <v>47</v>
      </c>
      <c r="D40" s="14" t="s">
        <v>46</v>
      </c>
      <c r="E40" s="6">
        <f>B35*POWER(D35,3)/12</f>
        <v>679.71836473999997</v>
      </c>
      <c r="F40" s="13" t="s">
        <v>47</v>
      </c>
    </row>
    <row r="41" spans="1:8" ht="15.75">
      <c r="A41" s="14" t="s">
        <v>98</v>
      </c>
      <c r="B41" s="6">
        <f>B40+E40</f>
        <v>839.36497850000001</v>
      </c>
      <c r="C41" s="13" t="s">
        <v>47</v>
      </c>
      <c r="D41" s="13" t="s">
        <v>227</v>
      </c>
      <c r="E41" s="36">
        <v>1.9</v>
      </c>
    </row>
    <row r="42" spans="1:8" ht="15.75">
      <c r="A42" s="16" t="s">
        <v>99</v>
      </c>
      <c r="B42" s="40">
        <v>14.5</v>
      </c>
      <c r="C42" s="5" t="s">
        <v>7</v>
      </c>
      <c r="D42" s="3">
        <v>0.25</v>
      </c>
      <c r="E42" s="2" t="s">
        <v>8</v>
      </c>
      <c r="F42" s="3">
        <v>845.07</v>
      </c>
      <c r="G42" t="s">
        <v>9</v>
      </c>
    </row>
    <row r="43" spans="1:8" ht="14.25">
      <c r="A43" s="5" t="s">
        <v>12</v>
      </c>
      <c r="B43" s="3">
        <v>1.94</v>
      </c>
      <c r="C43" t="s">
        <v>13</v>
      </c>
      <c r="D43" s="5" t="s">
        <v>10</v>
      </c>
      <c r="E43" s="7">
        <f>B43/9.81</f>
        <v>0.19775739041794085</v>
      </c>
      <c r="F43" t="s">
        <v>14</v>
      </c>
    </row>
    <row r="44" spans="1:8">
      <c r="A44" s="5" t="s">
        <v>107</v>
      </c>
      <c r="B44" s="24">
        <v>0.03</v>
      </c>
      <c r="C44" s="13"/>
      <c r="D44" s="2" t="s">
        <v>6</v>
      </c>
      <c r="E44" s="1">
        <f>E43*F42*F42</f>
        <v>141227.1163614679</v>
      </c>
      <c r="F44" t="s">
        <v>11</v>
      </c>
      <c r="H44">
        <f>'Análisis ok'!E44*1.5</f>
        <v>141228.44036697244</v>
      </c>
    </row>
    <row r="45" spans="1:8">
      <c r="A45" t="s">
        <v>23</v>
      </c>
      <c r="D45" s="3">
        <v>14.83</v>
      </c>
      <c r="E45" t="s">
        <v>24</v>
      </c>
    </row>
    <row r="46" spans="1:8" ht="15.75">
      <c r="A46" s="2" t="s">
        <v>97</v>
      </c>
      <c r="B46" s="4">
        <f>F42/(4*B42)</f>
        <v>14.570172413793104</v>
      </c>
      <c r="C46" s="13" t="s">
        <v>24</v>
      </c>
      <c r="E46" s="13"/>
      <c r="F46" s="2" t="s">
        <v>272</v>
      </c>
      <c r="G46" s="7">
        <f>B47*D36/F42</f>
        <v>0.30432485021490074</v>
      </c>
      <c r="H46">
        <f>SQRT(H44/E43)</f>
        <v>845.07396126019637</v>
      </c>
    </row>
    <row r="47" spans="1:8">
      <c r="A47" s="5" t="s">
        <v>22</v>
      </c>
      <c r="B47" s="6">
        <f>2*PI()*D45</f>
        <v>93.179638105473259</v>
      </c>
      <c r="C47" s="13" t="s">
        <v>254</v>
      </c>
    </row>
    <row r="48" spans="1:8" ht="13.5" thickBot="1">
      <c r="A48" s="21"/>
      <c r="B48" s="21"/>
      <c r="C48" s="21"/>
      <c r="D48" s="21"/>
      <c r="E48" s="22"/>
      <c r="F48" s="23"/>
      <c r="G48" s="21"/>
    </row>
    <row r="49" spans="1:7" ht="15">
      <c r="A49" s="12" t="s">
        <v>42</v>
      </c>
      <c r="B49" s="6"/>
      <c r="D49" s="2"/>
      <c r="E49" s="1"/>
    </row>
    <row r="50" spans="1:7">
      <c r="A50" s="10" t="s">
        <v>4</v>
      </c>
      <c r="B50" s="6"/>
      <c r="D50" s="2"/>
      <c r="E50" s="1"/>
    </row>
    <row r="51" spans="1:7" ht="15.75">
      <c r="A51" s="2" t="s">
        <v>5</v>
      </c>
      <c r="B51" s="6">
        <f>IF(F39&lt;0.02,0.8,0.73+1.54*POWER(F39,0.75))</f>
        <v>1.6245038951814859</v>
      </c>
    </row>
    <row r="52" spans="1:7" ht="14.25">
      <c r="A52" s="8" t="s">
        <v>40</v>
      </c>
      <c r="B52" s="9">
        <f>D35*E44*B51/(1-D42)</f>
        <v>3484185.8229685682</v>
      </c>
      <c r="C52" s="10" t="s">
        <v>15</v>
      </c>
      <c r="D52" t="s">
        <v>16</v>
      </c>
    </row>
    <row r="53" spans="1:7" ht="14.25">
      <c r="A53" s="8" t="s">
        <v>25</v>
      </c>
      <c r="B53" s="9">
        <f>B52*(1+(F35/(21*D36))*(1+4*B39/(12*F36*F36))*(1+0.19*POWER((D39/B39),2/3)))</f>
        <v>3669737.8272727802</v>
      </c>
      <c r="C53" s="10" t="s">
        <v>15</v>
      </c>
      <c r="D53" t="s">
        <v>34</v>
      </c>
    </row>
    <row r="54" spans="1:7" ht="14.25">
      <c r="A54" s="8" t="s">
        <v>141</v>
      </c>
      <c r="B54" s="31">
        <f>B52*(1+(F35/(21*D36))*(1+4*B39/(12*F36*F36)))</f>
        <v>3642518.4666086328</v>
      </c>
      <c r="C54" s="13" t="s">
        <v>15</v>
      </c>
      <c r="D54" s="10"/>
    </row>
    <row r="55" spans="1:7" ht="14.25">
      <c r="A55" s="8" t="s">
        <v>133</v>
      </c>
      <c r="B55" s="31">
        <f>B53-B54</f>
        <v>27219.360664147418</v>
      </c>
      <c r="C55" s="13" t="s">
        <v>15</v>
      </c>
    </row>
    <row r="56" spans="1:7" ht="14.25">
      <c r="A56" s="8" t="s">
        <v>134</v>
      </c>
      <c r="B56" s="1">
        <f>B55/D39</f>
        <v>503.01893598734875</v>
      </c>
      <c r="C56" s="13" t="s">
        <v>135</v>
      </c>
    </row>
    <row r="57" spans="1:7" ht="14.25">
      <c r="A57" s="11" t="s">
        <v>41</v>
      </c>
      <c r="B57" s="10"/>
      <c r="C57" s="10"/>
      <c r="E57" s="8" t="s">
        <v>40</v>
      </c>
      <c r="F57" s="9">
        <f>B58*B52</f>
        <v>3414502.1065091966</v>
      </c>
      <c r="G57" s="10" t="s">
        <v>15</v>
      </c>
    </row>
    <row r="58" spans="1:7" ht="14.25">
      <c r="A58" s="8" t="s">
        <v>40</v>
      </c>
      <c r="B58" s="3">
        <v>0.98</v>
      </c>
      <c r="E58" s="8" t="s">
        <v>25</v>
      </c>
      <c r="F58" s="9">
        <f>B52*(1-0.09*POWER((F35/D36),0.75)*POWER(G46,2))</f>
        <v>3464891.6206576242</v>
      </c>
      <c r="G58" s="10" t="s">
        <v>15</v>
      </c>
    </row>
    <row r="59" spans="1:7">
      <c r="E59" s="8"/>
      <c r="F59" s="9"/>
      <c r="G59" s="10"/>
    </row>
    <row r="60" spans="1:7" ht="15">
      <c r="B60" s="26" t="s">
        <v>108</v>
      </c>
      <c r="C60" s="27">
        <f>F58-B47*B113*B44</f>
        <v>3397228.8993437868</v>
      </c>
      <c r="D60" s="25" t="s">
        <v>15</v>
      </c>
      <c r="E60" s="8"/>
      <c r="F60" s="9"/>
      <c r="G60" s="10"/>
    </row>
    <row r="61" spans="1:7" s="15" customFormat="1" ht="13.5" thickBot="1"/>
    <row r="62" spans="1:7">
      <c r="B62" s="10" t="s">
        <v>28</v>
      </c>
    </row>
    <row r="63" spans="1:7" ht="15.75">
      <c r="B63" s="2" t="s">
        <v>26</v>
      </c>
      <c r="C63" s="6">
        <f>IF(F39&lt;0.16,2.24,4.5*POWER(F39,0.38))</f>
        <v>3.4171996102899405</v>
      </c>
      <c r="E63" s="8" t="s">
        <v>29</v>
      </c>
      <c r="F63" s="9">
        <f>D35*E44*C63/(2-D42)</f>
        <v>3141044.6875701519</v>
      </c>
      <c r="G63" s="10" t="s">
        <v>15</v>
      </c>
    </row>
    <row r="64" spans="1:7" ht="14.25">
      <c r="B64" s="8" t="s">
        <v>143</v>
      </c>
      <c r="C64" s="31">
        <f>F65-F64</f>
        <v>1360938.698586999</v>
      </c>
      <c r="D64" s="10" t="s">
        <v>15</v>
      </c>
      <c r="E64" s="8" t="s">
        <v>142</v>
      </c>
      <c r="F64" s="31">
        <f>F63*(1+0.15*SQRT(D37))</f>
        <v>3499777.2704707203</v>
      </c>
      <c r="G64" s="10" t="s">
        <v>15</v>
      </c>
    </row>
    <row r="65" spans="1:7" ht="14.25">
      <c r="B65" s="8"/>
      <c r="C65" s="31"/>
      <c r="D65" s="10"/>
      <c r="E65" s="8" t="s">
        <v>32</v>
      </c>
      <c r="F65" s="28">
        <f>F63*(1+0.15*SQRT(D37))*(1+0.52*POWER((F35-0.5*B36)*D39/(D36*POWER(F36,2)),0.4))</f>
        <v>4860715.9690577192</v>
      </c>
      <c r="G65" s="10" t="s">
        <v>15</v>
      </c>
    </row>
    <row r="66" spans="1:7">
      <c r="B66" s="10" t="s">
        <v>30</v>
      </c>
    </row>
    <row r="67" spans="1:7" ht="14.25">
      <c r="E67" s="8" t="s">
        <v>31</v>
      </c>
      <c r="F67" s="9">
        <f>F63-(0.21*F36*E44*(1-B37)/(0.75-D42))</f>
        <v>2966954.0212313705</v>
      </c>
      <c r="G67" s="10" t="s">
        <v>15</v>
      </c>
    </row>
    <row r="68" spans="1:7" ht="14.25">
      <c r="B68" s="8" t="s">
        <v>144</v>
      </c>
      <c r="C68" s="31">
        <f>F69-F68</f>
        <v>1285509.4231549054</v>
      </c>
      <c r="D68" s="10" t="s">
        <v>15</v>
      </c>
      <c r="E68" s="8" t="s">
        <v>145</v>
      </c>
      <c r="F68" s="31">
        <f>F67*(1+0.15*SQRT(D37))</f>
        <v>3305804.0489292927</v>
      </c>
      <c r="G68" s="10" t="s">
        <v>15</v>
      </c>
    </row>
    <row r="69" spans="1:7" ht="14.25">
      <c r="B69" s="8"/>
      <c r="C69" s="31"/>
      <c r="D69" s="10"/>
      <c r="E69" s="8" t="s">
        <v>38</v>
      </c>
      <c r="F69" s="28">
        <f>F67*(1+0.15*SQRT(D37))*(1+0.52*POWER((F35-0.5*B36)*D39/(D36*POWER(F36,2)),0.4))</f>
        <v>4591313.4720841981</v>
      </c>
      <c r="G69" s="10" t="s">
        <v>15</v>
      </c>
    </row>
    <row r="71" spans="1:7">
      <c r="A71" s="13" t="s">
        <v>208</v>
      </c>
    </row>
    <row r="72" spans="1:7">
      <c r="A72" s="13" t="s">
        <v>209</v>
      </c>
    </row>
    <row r="73" spans="1:7" ht="14.25">
      <c r="B73" s="8" t="s">
        <v>31</v>
      </c>
      <c r="C73" s="3">
        <v>1.02</v>
      </c>
      <c r="D73" s="8" t="s">
        <v>38</v>
      </c>
      <c r="E73" s="3">
        <v>1</v>
      </c>
    </row>
    <row r="74" spans="1:7" ht="14.25">
      <c r="B74" s="8" t="s">
        <v>29</v>
      </c>
      <c r="C74" s="3">
        <v>1.05</v>
      </c>
      <c r="D74" s="8" t="s">
        <v>32</v>
      </c>
      <c r="E74" s="3">
        <v>1</v>
      </c>
    </row>
    <row r="75" spans="1:7">
      <c r="B75" s="10" t="s">
        <v>39</v>
      </c>
    </row>
    <row r="76" spans="1:7">
      <c r="G76" s="9"/>
    </row>
    <row r="77" spans="1:7" ht="14.25">
      <c r="B77" s="8" t="s">
        <v>31</v>
      </c>
      <c r="C77" s="9">
        <f>F67*C73</f>
        <v>3026293.1016559978</v>
      </c>
      <c r="D77" s="10" t="s">
        <v>15</v>
      </c>
      <c r="E77" s="8" t="s">
        <v>38</v>
      </c>
      <c r="F77" s="9">
        <f>F69*E73</f>
        <v>4591313.4720841981</v>
      </c>
      <c r="G77" s="10" t="s">
        <v>15</v>
      </c>
    </row>
    <row r="78" spans="1:7" ht="14.25">
      <c r="B78" s="8" t="s">
        <v>29</v>
      </c>
      <c r="C78" s="9">
        <f>F63*C74</f>
        <v>3298096.9219486597</v>
      </c>
      <c r="D78" s="10" t="s">
        <v>15</v>
      </c>
      <c r="E78" s="8" t="s">
        <v>32</v>
      </c>
      <c r="F78" s="9">
        <f>F65*E74</f>
        <v>4860715.9690577192</v>
      </c>
      <c r="G78" s="10" t="s">
        <v>15</v>
      </c>
    </row>
    <row r="79" spans="1:7">
      <c r="B79" s="8"/>
      <c r="C79" s="9"/>
      <c r="D79" s="10"/>
      <c r="E79" s="8"/>
      <c r="F79" s="9"/>
      <c r="G79" s="10"/>
    </row>
    <row r="80" spans="1:7" ht="15">
      <c r="B80" s="8"/>
      <c r="C80" s="26" t="s">
        <v>110</v>
      </c>
      <c r="D80" s="27">
        <f>F77-B47*B121*B44</f>
        <v>4536825.2757302467</v>
      </c>
      <c r="E80" s="25" t="s">
        <v>15</v>
      </c>
      <c r="F80" s="9"/>
      <c r="G80" s="10"/>
    </row>
    <row r="81" spans="1:7" ht="15">
      <c r="B81" s="8"/>
      <c r="C81" s="26" t="s">
        <v>109</v>
      </c>
      <c r="D81" s="27">
        <f>F78-B47*B122*B44</f>
        <v>4792539.3290231712</v>
      </c>
      <c r="E81" s="25" t="s">
        <v>15</v>
      </c>
      <c r="F81" s="9"/>
      <c r="G81" s="10"/>
    </row>
    <row r="82" spans="1:7" ht="13.5" thickBot="1">
      <c r="A82" s="15"/>
      <c r="B82" s="15"/>
      <c r="C82" s="15"/>
      <c r="D82" s="15"/>
      <c r="E82" s="15"/>
      <c r="F82" s="15"/>
      <c r="G82" s="15"/>
    </row>
    <row r="83" spans="1:7">
      <c r="B83" s="10" t="s">
        <v>43</v>
      </c>
    </row>
    <row r="85" spans="1:7" ht="14.25">
      <c r="B85" s="8" t="s">
        <v>44</v>
      </c>
      <c r="C85" s="9">
        <f>(E44/(1-D42))*POWER(B40,0.75)*POWER(B38,0.25)*(2.4+0.5*B37)</f>
        <v>26782914.032586809</v>
      </c>
      <c r="D85" s="10" t="s">
        <v>15</v>
      </c>
      <c r="E85" s="8" t="s">
        <v>49</v>
      </c>
      <c r="F85" s="9">
        <f>C85*(1+1.26*F37*(1+F37*POWER(F38,0.2)*POWER(B37,0.5)))</f>
        <v>54241189.934787169</v>
      </c>
      <c r="G85" s="10" t="s">
        <v>15</v>
      </c>
    </row>
    <row r="86" spans="1:7" ht="14.25">
      <c r="B86" s="8" t="s">
        <v>48</v>
      </c>
      <c r="C86" s="9">
        <f>(3*E44/(1-D42))*POWER(E40,0.75)*POWER(B38,0.15)</f>
        <v>83832522.236487269</v>
      </c>
      <c r="D86" s="10" t="s">
        <v>15</v>
      </c>
      <c r="E86" s="8" t="s">
        <v>50</v>
      </c>
      <c r="F86" s="9">
        <f>C86*(1+0.92*POWER(D38,0.6)*(1.5+POWER(D38,1.9)*POWER(F38,0.6)))</f>
        <v>141068430.91965047</v>
      </c>
      <c r="G86" s="10" t="s">
        <v>15</v>
      </c>
    </row>
    <row r="87" spans="1:7">
      <c r="B87" s="13" t="s">
        <v>54</v>
      </c>
    </row>
    <row r="88" spans="1:7" ht="14.25">
      <c r="B88" s="8" t="s">
        <v>44</v>
      </c>
      <c r="C88" s="6">
        <f>1-0.2*G46</f>
        <v>0.93913502995701981</v>
      </c>
      <c r="E88" s="8" t="s">
        <v>111</v>
      </c>
      <c r="F88" s="28">
        <f>F85*C88</f>
        <v>50939801.534310751</v>
      </c>
      <c r="G88" s="10" t="s">
        <v>15</v>
      </c>
    </row>
    <row r="89" spans="1:7" ht="14.25">
      <c r="B89" s="8" t="s">
        <v>48</v>
      </c>
      <c r="C89" s="6">
        <f>1-0.3*G46</f>
        <v>0.90870254493552982</v>
      </c>
      <c r="E89" s="8" t="s">
        <v>50</v>
      </c>
      <c r="F89" s="28">
        <f>F86*C89</f>
        <v>128189242.18674836</v>
      </c>
      <c r="G89" s="10" t="s">
        <v>15</v>
      </c>
    </row>
    <row r="90" spans="1:7">
      <c r="B90" s="8"/>
      <c r="F90" s="28"/>
      <c r="G90" s="10"/>
    </row>
    <row r="91" spans="1:7" ht="15">
      <c r="B91" s="8"/>
      <c r="C91" s="26" t="s">
        <v>112</v>
      </c>
      <c r="D91" s="27">
        <f>F88-B47*B129*B44</f>
        <v>50800440.246892355</v>
      </c>
      <c r="E91" s="25" t="s">
        <v>15</v>
      </c>
      <c r="F91" s="28"/>
      <c r="G91" s="10"/>
    </row>
    <row r="92" spans="1:7" ht="15">
      <c r="B92" s="8"/>
      <c r="C92" s="26" t="s">
        <v>113</v>
      </c>
      <c r="D92" s="27">
        <f>F89-B47*B130*B44</f>
        <v>127741209.3493695</v>
      </c>
      <c r="E92" s="25" t="s">
        <v>15</v>
      </c>
      <c r="F92" s="28"/>
      <c r="G92" s="10"/>
    </row>
    <row r="93" spans="1:7" ht="13.5" thickBot="1">
      <c r="A93" s="15"/>
      <c r="B93" s="15"/>
      <c r="C93" s="15"/>
      <c r="D93" s="15"/>
      <c r="E93" s="15"/>
      <c r="F93" s="15"/>
      <c r="G93" s="15"/>
    </row>
    <row r="94" spans="1:7">
      <c r="B94" s="17" t="s">
        <v>55</v>
      </c>
    </row>
    <row r="96" spans="1:7" ht="14.25">
      <c r="A96" s="8" t="s">
        <v>56</v>
      </c>
      <c r="B96" s="9">
        <f>E44*POWER(B41,0.75)*(3.8+10.7*POWER((1-B37),10))</f>
        <v>83999779.285912797</v>
      </c>
      <c r="C96" s="10" t="s">
        <v>15</v>
      </c>
      <c r="E96" s="8" t="s">
        <v>57</v>
      </c>
      <c r="F96" s="9">
        <f>B96*(1+(1.3+1.32*B37)*POWER(D37,0.9))</f>
        <v>183748374.218741</v>
      </c>
      <c r="G96" s="10" t="s">
        <v>15</v>
      </c>
    </row>
    <row r="98" spans="1:7">
      <c r="A98" s="13" t="s">
        <v>58</v>
      </c>
    </row>
    <row r="99" spans="1:7">
      <c r="A99" s="14" t="s">
        <v>59</v>
      </c>
      <c r="B99" s="6">
        <f>0.33-0.13*SQRT(B38-1)</f>
        <v>0.19594196043871709</v>
      </c>
    </row>
    <row r="100" spans="1:7" ht="14.25">
      <c r="A100" s="14" t="s">
        <v>60</v>
      </c>
      <c r="B100" s="6">
        <f>0.8/(1+0.33*(B38-1))</f>
        <v>0.59218731142132996</v>
      </c>
      <c r="C100" s="8" t="s">
        <v>61</v>
      </c>
      <c r="D100" s="6">
        <f>1-B99*POWER(G46,2)/(B100+POWER(G46,2))</f>
        <v>0.97350048387132548</v>
      </c>
      <c r="E100" s="14"/>
      <c r="F100" s="6"/>
    </row>
    <row r="101" spans="1:7">
      <c r="E101" s="14"/>
      <c r="F101" s="6"/>
    </row>
    <row r="102" spans="1:7" ht="14.25">
      <c r="B102" s="13" t="s">
        <v>62</v>
      </c>
      <c r="E102" s="8" t="s">
        <v>57</v>
      </c>
      <c r="F102" s="28">
        <f>D100*F96</f>
        <v>178879131.21251374</v>
      </c>
      <c r="G102" s="10" t="s">
        <v>15</v>
      </c>
    </row>
    <row r="103" spans="1:7">
      <c r="B103" s="13"/>
      <c r="E103" s="8"/>
      <c r="F103" s="28"/>
      <c r="G103" s="10"/>
    </row>
    <row r="104" spans="1:7" ht="15">
      <c r="D104" s="26" t="s">
        <v>114</v>
      </c>
      <c r="E104" s="27">
        <f>F102-B47*B138*B44</f>
        <v>178647325.99978289</v>
      </c>
      <c r="F104" s="25" t="s">
        <v>15</v>
      </c>
      <c r="G104" s="10"/>
    </row>
    <row r="105" spans="1:7" ht="13.5" thickBot="1">
      <c r="A105" s="15"/>
      <c r="B105" s="15"/>
      <c r="C105" s="15"/>
      <c r="D105" s="15"/>
      <c r="E105" s="15"/>
      <c r="F105" s="15"/>
      <c r="G105" s="15"/>
    </row>
    <row r="107" spans="1:7" ht="15.75" customHeight="1">
      <c r="A107" s="12" t="s">
        <v>63</v>
      </c>
    </row>
    <row r="108" spans="1:7">
      <c r="A108" s="10" t="s">
        <v>69</v>
      </c>
    </row>
    <row r="109" spans="1:7" ht="14.25">
      <c r="B109" s="8" t="s">
        <v>65</v>
      </c>
      <c r="C109" s="6">
        <f>3.4*F42/(PI()*(1-D42))</f>
        <v>1219.4400810119232</v>
      </c>
      <c r="D109" s="13" t="s">
        <v>9</v>
      </c>
    </row>
    <row r="110" spans="1:7">
      <c r="A110" s="13" t="s">
        <v>66</v>
      </c>
      <c r="D110" s="18">
        <v>1</v>
      </c>
      <c r="F110" s="13"/>
    </row>
    <row r="111" spans="1:7" ht="14.25">
      <c r="B111" s="8" t="s">
        <v>64</v>
      </c>
      <c r="C111" s="9">
        <f>E43*C109*B39*D110</f>
        <v>15161.982457835482</v>
      </c>
      <c r="D111" t="s">
        <v>68</v>
      </c>
    </row>
    <row r="112" spans="1:7">
      <c r="A112" s="13" t="s">
        <v>77</v>
      </c>
    </row>
    <row r="113" spans="1:7" ht="15">
      <c r="A113" s="8" t="s">
        <v>67</v>
      </c>
      <c r="B113" s="9">
        <f>(F146*C111+E43*F42*D39*F145)*F147</f>
        <v>24205.117015388998</v>
      </c>
      <c r="C113" t="s">
        <v>68</v>
      </c>
      <c r="E113" s="26" t="s">
        <v>115</v>
      </c>
      <c r="F113" s="27">
        <f>B113+2*F58*B44/B47</f>
        <v>26436.221379672272</v>
      </c>
      <c r="G113" s="25" t="s">
        <v>68</v>
      </c>
    </row>
    <row r="114" spans="1:7" ht="13.5" thickBot="1">
      <c r="A114" s="15"/>
      <c r="B114" s="15"/>
      <c r="C114" s="15"/>
      <c r="D114" s="15"/>
      <c r="E114" s="15"/>
      <c r="F114" s="15"/>
      <c r="G114" s="15"/>
    </row>
    <row r="115" spans="1:7">
      <c r="A115" s="10" t="s">
        <v>70</v>
      </c>
    </row>
    <row r="117" spans="1:7" ht="14.25">
      <c r="A117" s="8" t="s">
        <v>71</v>
      </c>
      <c r="B117" s="9">
        <f>E43*F42*B39*G117</f>
        <v>9141.2894673423853</v>
      </c>
      <c r="C117" t="s">
        <v>68</v>
      </c>
      <c r="D117" s="13" t="s">
        <v>72</v>
      </c>
      <c r="G117" s="18">
        <v>0.87</v>
      </c>
    </row>
    <row r="118" spans="1:7" ht="14.25">
      <c r="A118" s="8" t="s">
        <v>73</v>
      </c>
      <c r="B118" s="9">
        <f>E43*F42*B39*G118</f>
        <v>10507.229272807339</v>
      </c>
      <c r="C118" t="s">
        <v>68</v>
      </c>
      <c r="D118" s="13" t="s">
        <v>74</v>
      </c>
      <c r="G118" s="18">
        <v>1</v>
      </c>
    </row>
    <row r="119" spans="1:7">
      <c r="A119" s="13" t="s">
        <v>83</v>
      </c>
    </row>
    <row r="120" spans="1:7">
      <c r="A120" s="13"/>
    </row>
    <row r="121" spans="1:7" ht="15">
      <c r="A121" s="8" t="s">
        <v>75</v>
      </c>
      <c r="B121" s="9">
        <f>(G117+D37*POWER((B36/F35),0.2)*(1+C109*B37/F42))*E43*F42*B39*F145*F146*F147</f>
        <v>19492.168554491167</v>
      </c>
      <c r="C121" t="s">
        <v>68</v>
      </c>
      <c r="D121" s="26" t="s">
        <v>116</v>
      </c>
      <c r="E121" s="27">
        <f>B121+2*F77*B44/B47</f>
        <v>22448.595665886769</v>
      </c>
      <c r="F121" s="25" t="s">
        <v>68</v>
      </c>
    </row>
    <row r="122" spans="1:7" ht="15">
      <c r="A122" s="8" t="s">
        <v>76</v>
      </c>
      <c r="B122" s="9">
        <f>(G118+D37*POWER((B36/F35),0.35)*C109/F42+B37)*E43*F42*B39*F145*F146*F147</f>
        <v>24388.962159800387</v>
      </c>
      <c r="C122" t="s">
        <v>68</v>
      </c>
      <c r="D122" s="26" t="s">
        <v>117</v>
      </c>
      <c r="E122" s="27">
        <f>B122+2*F78*B44/B47</f>
        <v>27518.862254640233</v>
      </c>
      <c r="F122" s="25" t="s">
        <v>68</v>
      </c>
    </row>
    <row r="123" spans="1:7" ht="13.5" thickBot="1">
      <c r="A123" s="15"/>
      <c r="B123" s="15"/>
      <c r="C123" s="15"/>
      <c r="D123" s="15"/>
      <c r="E123" s="15"/>
      <c r="F123" s="15"/>
      <c r="G123" s="15"/>
    </row>
    <row r="124" spans="1:7">
      <c r="B124" s="17" t="s">
        <v>78</v>
      </c>
    </row>
    <row r="126" spans="1:7" ht="14.25">
      <c r="A126" s="8" t="s">
        <v>81</v>
      </c>
      <c r="B126" s="9">
        <f>E43*C109*B40*G126</f>
        <v>4619.9167028323027</v>
      </c>
      <c r="C126" t="s">
        <v>68</v>
      </c>
      <c r="D126" s="13" t="s">
        <v>80</v>
      </c>
      <c r="G126" s="18">
        <v>0.12</v>
      </c>
    </row>
    <row r="127" spans="1:7" ht="14.25">
      <c r="A127" s="8" t="s">
        <v>82</v>
      </c>
      <c r="B127" s="9">
        <f>E43*C109*E40*G127</f>
        <v>32783.263740302638</v>
      </c>
      <c r="C127" t="s">
        <v>68</v>
      </c>
      <c r="D127" s="13" t="s">
        <v>79</v>
      </c>
      <c r="G127" s="18">
        <v>0.2</v>
      </c>
    </row>
    <row r="128" spans="1:7">
      <c r="A128" s="13" t="s">
        <v>83</v>
      </c>
    </row>
    <row r="129" spans="1:7" ht="14.25">
      <c r="A129" s="8" t="s">
        <v>84</v>
      </c>
      <c r="B129" s="9">
        <f>E43*C109*B40*E129*E130*F145*F146*F147</f>
        <v>49853.984644386561</v>
      </c>
      <c r="C129" t="s">
        <v>68</v>
      </c>
      <c r="D129" s="8" t="s">
        <v>86</v>
      </c>
      <c r="E129" s="6">
        <f>G126+(0.25+0.65*POWER((G46*POWER((B36/F35),-G46)*POWER(D37,-0.5)),0.5))</f>
        <v>0.7809408737149971</v>
      </c>
      <c r="F129" s="8" t="s">
        <v>88</v>
      </c>
      <c r="G129" s="6">
        <f>G127+0.25+(0.65*POWER((G46*POWER((B36/F35),-G46)*POWER(D37,-0.5)*POWER(B38,0.5)),0.5))</f>
        <v>0.94252184938705685</v>
      </c>
    </row>
    <row r="130" spans="1:7" ht="14.25">
      <c r="A130" s="8" t="s">
        <v>85</v>
      </c>
      <c r="B130" s="9">
        <f>E43*C109*E40*G129*G130*F145*F146*F147</f>
        <v>160275.6591061666</v>
      </c>
      <c r="C130" t="s">
        <v>68</v>
      </c>
      <c r="D130" s="8" t="s">
        <v>87</v>
      </c>
      <c r="E130" s="6">
        <f>POWER(F37,3)+2.77*(1-D42)*F37+0.92*(1-D42)*(D38+POWER(B36,3)/(F36*D36*D36))</f>
        <v>1.6581691173687783</v>
      </c>
      <c r="F130" s="8" t="s">
        <v>89</v>
      </c>
      <c r="G130" s="6">
        <f>POWER(D38,3)+2.77*(1-D42)*D38+0.92*(1-D42)*(F37+POWER(B36,3)/(D36*F36*F36))</f>
        <v>1.0374184151015677</v>
      </c>
    </row>
    <row r="131" spans="1:7">
      <c r="B131" s="8"/>
      <c r="C131" s="9"/>
    </row>
    <row r="132" spans="1:7" ht="15">
      <c r="B132" s="8"/>
      <c r="C132" s="9"/>
      <c r="D132" s="26" t="s">
        <v>118</v>
      </c>
      <c r="E132" s="27">
        <f>B129+2*F88*B44/B47</f>
        <v>82655.014506715641</v>
      </c>
      <c r="F132" s="25" t="s">
        <v>68</v>
      </c>
    </row>
    <row r="133" spans="1:7" ht="15">
      <c r="B133" s="8"/>
      <c r="C133" s="9"/>
      <c r="D133" s="26" t="s">
        <v>119</v>
      </c>
      <c r="E133" s="27">
        <f>B130+2*F89*B44/B47</f>
        <v>242818.95598502751</v>
      </c>
      <c r="F133" s="25" t="s">
        <v>68</v>
      </c>
      <c r="G133" s="27"/>
    </row>
    <row r="134" spans="1:7" ht="13.5" thickBot="1">
      <c r="A134" s="15"/>
      <c r="B134" s="15"/>
      <c r="C134" s="15"/>
      <c r="D134" s="15"/>
      <c r="E134" s="15"/>
      <c r="F134" s="15"/>
      <c r="G134" s="15"/>
    </row>
    <row r="135" spans="1:7">
      <c r="A135" s="17" t="s">
        <v>90</v>
      </c>
    </row>
    <row r="137" spans="1:7" ht="14.25">
      <c r="A137" s="8" t="s">
        <v>92</v>
      </c>
      <c r="B137" s="9">
        <f>E43*F42*B41*G137</f>
        <v>16832.843975769178</v>
      </c>
      <c r="C137" t="s">
        <v>68</v>
      </c>
      <c r="D137" s="13" t="s">
        <v>91</v>
      </c>
      <c r="G137" s="18">
        <v>0.12</v>
      </c>
    </row>
    <row r="138" spans="1:7" ht="14.25">
      <c r="A138" s="8" t="s">
        <v>93</v>
      </c>
      <c r="B138" s="9">
        <f>(E43*F42*B41*(G137+(G138*F37*(3/F139+D139*POWER(B38,2)/F139+3*F36/(D36*F139))+D139*D36/(F36*F139))))*F145*F146*F147</f>
        <v>82924.130008054912</v>
      </c>
      <c r="C138" t="s">
        <v>68</v>
      </c>
      <c r="D138" s="13" t="s">
        <v>94</v>
      </c>
      <c r="G138" s="18">
        <v>0.2</v>
      </c>
    </row>
    <row r="139" spans="1:7">
      <c r="C139" s="14" t="s">
        <v>95</v>
      </c>
      <c r="D139" s="6">
        <f>3.4/(PI()*(1-D42))</f>
        <v>1.4430048173665178</v>
      </c>
      <c r="E139" s="14" t="s">
        <v>96</v>
      </c>
      <c r="F139" s="6">
        <f>1+POWER(B38,2)</f>
        <v>5.2576434835118686</v>
      </c>
    </row>
    <row r="140" spans="1:7" ht="14.25">
      <c r="E140" s="14" t="s">
        <v>146</v>
      </c>
      <c r="F140" s="6">
        <f>G46*POWER(B38,0.6)*POWER(F37,0.1)</f>
        <v>0.44505050155221237</v>
      </c>
      <c r="G140" s="6"/>
    </row>
    <row r="141" spans="1:7" ht="15">
      <c r="B141" s="26" t="s">
        <v>120</v>
      </c>
      <c r="C141" s="27">
        <f>B138+2*F102*B44/B47</f>
        <v>198107.53371050389</v>
      </c>
      <c r="D141" s="25" t="s">
        <v>68</v>
      </c>
    </row>
    <row r="142" spans="1:7" ht="13.5" thickBot="1">
      <c r="A142" s="15"/>
      <c r="B142" s="15"/>
      <c r="C142" s="15"/>
      <c r="D142" s="15"/>
      <c r="E142" s="15"/>
      <c r="F142" s="15"/>
      <c r="G142" s="15"/>
    </row>
    <row r="143" spans="1:7">
      <c r="A143" s="10" t="s">
        <v>100</v>
      </c>
    </row>
    <row r="145" spans="1:7">
      <c r="A145" s="13" t="s">
        <v>140</v>
      </c>
      <c r="E145" s="13" t="s">
        <v>103</v>
      </c>
      <c r="F145" s="18">
        <v>1</v>
      </c>
    </row>
    <row r="146" spans="1:7">
      <c r="A146" s="13" t="s">
        <v>104</v>
      </c>
      <c r="E146" s="13" t="s">
        <v>105</v>
      </c>
      <c r="F146" s="18">
        <v>1</v>
      </c>
    </row>
    <row r="147" spans="1:7">
      <c r="A147" s="13" t="s">
        <v>102</v>
      </c>
      <c r="E147" s="13" t="s">
        <v>101</v>
      </c>
      <c r="F147" s="20">
        <f>IF(D45&lt;B46,0,1)</f>
        <v>1</v>
      </c>
    </row>
    <row r="148" spans="1:7" ht="13.5" thickBot="1">
      <c r="A148" s="15"/>
      <c r="B148" s="15"/>
      <c r="C148" s="15"/>
      <c r="D148" s="15"/>
      <c r="E148" s="15"/>
      <c r="F148" s="15"/>
      <c r="G148" s="15"/>
    </row>
    <row r="150" spans="1:7">
      <c r="A150" s="10" t="s">
        <v>131</v>
      </c>
    </row>
    <row r="152" spans="1:7">
      <c r="A152" s="13" t="s">
        <v>121</v>
      </c>
    </row>
    <row r="154" spans="1:7">
      <c r="A154" s="29" t="s">
        <v>122</v>
      </c>
      <c r="B154" s="29" t="s">
        <v>123</v>
      </c>
      <c r="C154" s="29" t="s">
        <v>124</v>
      </c>
    </row>
    <row r="155" spans="1:7" ht="15.75">
      <c r="B155" s="29" t="s">
        <v>125</v>
      </c>
      <c r="C155" s="29" t="s">
        <v>125</v>
      </c>
      <c r="D155" s="14" t="s">
        <v>130</v>
      </c>
      <c r="E155" s="32">
        <f>(B158+B156)/2</f>
        <v>5.6950000000000003</v>
      </c>
      <c r="F155" s="14" t="s">
        <v>132</v>
      </c>
      <c r="G155" s="32">
        <f>(C158+C156)/2</f>
        <v>2.76</v>
      </c>
    </row>
    <row r="156" spans="1:7" ht="15.75">
      <c r="A156" s="19">
        <v>1</v>
      </c>
      <c r="B156" s="19">
        <v>0</v>
      </c>
      <c r="C156" s="19">
        <v>0</v>
      </c>
      <c r="D156" s="14" t="s">
        <v>126</v>
      </c>
      <c r="E156" s="32">
        <f>(B156+B157)/2</f>
        <v>0</v>
      </c>
      <c r="F156" s="14" t="s">
        <v>150</v>
      </c>
      <c r="G156" s="33">
        <f>(C156+C157)/2</f>
        <v>2.76</v>
      </c>
    </row>
    <row r="157" spans="1:7" ht="15.75">
      <c r="A157" s="19">
        <v>2</v>
      </c>
      <c r="B157" s="19">
        <v>0</v>
      </c>
      <c r="C157" s="19">
        <f>B35</f>
        <v>5.52</v>
      </c>
      <c r="D157" s="14" t="s">
        <v>127</v>
      </c>
      <c r="E157" s="32">
        <f>(B157+B158)/2</f>
        <v>5.6950000000000003</v>
      </c>
      <c r="F157" s="14" t="s">
        <v>151</v>
      </c>
      <c r="G157" s="32">
        <f>(C157+C158)/2</f>
        <v>5.52</v>
      </c>
    </row>
    <row r="158" spans="1:7" ht="15.75">
      <c r="A158" s="19">
        <v>3</v>
      </c>
      <c r="B158" s="19">
        <f>D35</f>
        <v>11.39</v>
      </c>
      <c r="C158" s="19">
        <f>C157</f>
        <v>5.52</v>
      </c>
      <c r="D158" s="14" t="s">
        <v>128</v>
      </c>
      <c r="E158" s="32">
        <f>(B158+B159)/2</f>
        <v>11.39</v>
      </c>
      <c r="F158" s="14" t="s">
        <v>152</v>
      </c>
      <c r="G158" s="32">
        <f>(C158+C159)/2</f>
        <v>2.76</v>
      </c>
    </row>
    <row r="159" spans="1:7" ht="15.75">
      <c r="A159" s="19">
        <v>4</v>
      </c>
      <c r="B159" s="19">
        <f>B158</f>
        <v>11.39</v>
      </c>
      <c r="C159" s="19">
        <v>0</v>
      </c>
      <c r="D159" s="14" t="s">
        <v>129</v>
      </c>
      <c r="E159" s="32">
        <f>(B159+B156)/2</f>
        <v>5.6950000000000003</v>
      </c>
      <c r="F159" s="14" t="s">
        <v>153</v>
      </c>
      <c r="G159" s="32">
        <f>(C159+C160)/2</f>
        <v>0</v>
      </c>
    </row>
    <row r="160" spans="1:7">
      <c r="A160" s="19">
        <f>A156</f>
        <v>1</v>
      </c>
      <c r="B160" s="19">
        <f>B156</f>
        <v>0</v>
      </c>
      <c r="C160" s="19">
        <f>C156</f>
        <v>0</v>
      </c>
    </row>
    <row r="162" spans="1:6">
      <c r="A162" s="13" t="s">
        <v>136</v>
      </c>
    </row>
    <row r="163" spans="1:6" ht="15">
      <c r="A163" s="8" t="s">
        <v>137</v>
      </c>
      <c r="B163" s="30">
        <f>(C157-C156)*B36</f>
        <v>8.831999999999999</v>
      </c>
    </row>
    <row r="164" spans="1:6" ht="15">
      <c r="A164" s="8" t="s">
        <v>138</v>
      </c>
      <c r="B164" s="30">
        <f>(B158-B157)*B36</f>
        <v>18.224</v>
      </c>
    </row>
    <row r="165" spans="1:6" ht="15">
      <c r="A165" s="8" t="s">
        <v>139</v>
      </c>
      <c r="B165" s="30">
        <f>(C158-C159)*B36</f>
        <v>8.831999999999999</v>
      </c>
    </row>
    <row r="166" spans="1:6" ht="15">
      <c r="A166" s="8" t="s">
        <v>164</v>
      </c>
      <c r="B166" s="30">
        <f>(B159-B160)*B36</f>
        <v>18.224</v>
      </c>
      <c r="C166" t="str">
        <f>IF(SUM(B163:B166)=D39,"…ok","Checar datos")</f>
        <v>…ok</v>
      </c>
    </row>
    <row r="168" spans="1:6">
      <c r="A168" s="11" t="s">
        <v>154</v>
      </c>
    </row>
    <row r="169" spans="1:6" ht="15">
      <c r="B169" s="8" t="s">
        <v>147</v>
      </c>
      <c r="C169" s="34">
        <f>B163*B56</f>
        <v>4442.6632426402639</v>
      </c>
    </row>
    <row r="170" spans="1:6" ht="15">
      <c r="B170" s="8" t="s">
        <v>155</v>
      </c>
      <c r="C170" s="34">
        <f>B164*B56</f>
        <v>9167.0170894334442</v>
      </c>
      <c r="E170" s="8" t="s">
        <v>148</v>
      </c>
      <c r="F170" s="32">
        <f>(C169*E156+C170*E157+C171*E158+C172*E159+B54*E155)/B53</f>
        <v>5.6950000000000003</v>
      </c>
    </row>
    <row r="171" spans="1:6" ht="15">
      <c r="B171" s="8" t="s">
        <v>156</v>
      </c>
      <c r="C171" s="34">
        <f>B165*B56</f>
        <v>4442.6632426402639</v>
      </c>
      <c r="E171" s="8" t="s">
        <v>149</v>
      </c>
      <c r="F171" s="32">
        <f>(C169*G156+C170*G157+C171*G158+C172*G159+B54*G155)/B53</f>
        <v>2.76</v>
      </c>
    </row>
    <row r="172" spans="1:6" ht="15">
      <c r="B172" s="8" t="s">
        <v>157</v>
      </c>
      <c r="C172" s="34">
        <f>B166*B56</f>
        <v>9167.0170894334442</v>
      </c>
      <c r="D172" t="str">
        <f>IF(SUM(C169:C172)=B55,"…ok","Checa los datos")</f>
        <v>…ok</v>
      </c>
    </row>
    <row r="191" spans="1:3">
      <c r="A191" s="11" t="s">
        <v>158</v>
      </c>
    </row>
    <row r="192" spans="1:3" ht="14.25">
      <c r="A192" s="8" t="s">
        <v>163</v>
      </c>
      <c r="B192" s="1">
        <f>C64/D39</f>
        <v>25150.404690031766</v>
      </c>
      <c r="C192" s="13" t="s">
        <v>135</v>
      </c>
    </row>
    <row r="193" spans="1:6" ht="15">
      <c r="A193" s="8" t="s">
        <v>159</v>
      </c>
      <c r="B193" s="1">
        <f>B192*B163</f>
        <v>222128.37422236052</v>
      </c>
      <c r="C193" s="13" t="s">
        <v>135</v>
      </c>
    </row>
    <row r="194" spans="1:6" ht="15">
      <c r="A194" s="8" t="s">
        <v>160</v>
      </c>
      <c r="B194" s="1">
        <f>B192*B164</f>
        <v>458340.97507113894</v>
      </c>
      <c r="C194" s="13" t="s">
        <v>135</v>
      </c>
      <c r="D194" s="8" t="s">
        <v>165</v>
      </c>
      <c r="E194" s="32">
        <f>(B193*G156+B194*G157+B195*G158+B196*G159+F64*G155)/F65</f>
        <v>2.76</v>
      </c>
    </row>
    <row r="195" spans="1:6" ht="15">
      <c r="A195" s="8" t="s">
        <v>161</v>
      </c>
      <c r="B195" s="1">
        <f>B192*B165</f>
        <v>222128.37422236052</v>
      </c>
      <c r="C195" s="13" t="s">
        <v>135</v>
      </c>
      <c r="D195" s="8" t="s">
        <v>175</v>
      </c>
      <c r="E195" s="32">
        <f>(B193*E199+B194*E200+B195*E201+B196*E202+F64*C198)/F65</f>
        <v>-0.8</v>
      </c>
    </row>
    <row r="196" spans="1:6" ht="15">
      <c r="A196" s="8" t="s">
        <v>162</v>
      </c>
      <c r="B196" s="1">
        <f>B192*B166</f>
        <v>458340.97507113894</v>
      </c>
      <c r="C196" s="13" t="s">
        <v>135</v>
      </c>
      <c r="D196" t="str">
        <f>IF(SUM(B193:B196)=C64,"…ok","Checa los datos")</f>
        <v>…ok</v>
      </c>
    </row>
    <row r="198" spans="1:6" ht="15.75">
      <c r="B198" s="14" t="s">
        <v>166</v>
      </c>
      <c r="C198" s="32">
        <f>-B36/2</f>
        <v>-0.8</v>
      </c>
    </row>
    <row r="199" spans="1:6" ht="15.75">
      <c r="B199" s="14" t="s">
        <v>171</v>
      </c>
      <c r="C199" s="35">
        <v>0</v>
      </c>
      <c r="D199" s="14" t="s">
        <v>167</v>
      </c>
      <c r="E199" s="32">
        <f>(C199-$B$36)/2</f>
        <v>-0.8</v>
      </c>
    </row>
    <row r="200" spans="1:6" ht="15.75">
      <c r="B200" s="14" t="s">
        <v>172</v>
      </c>
      <c r="C200" s="35">
        <v>0</v>
      </c>
      <c r="D200" s="14" t="s">
        <v>168</v>
      </c>
      <c r="E200" s="32">
        <f>(C200-$B$36)/2</f>
        <v>-0.8</v>
      </c>
    </row>
    <row r="201" spans="1:6" ht="15.75">
      <c r="B201" s="14" t="s">
        <v>173</v>
      </c>
      <c r="C201" s="35">
        <v>0</v>
      </c>
      <c r="D201" s="14" t="s">
        <v>169</v>
      </c>
      <c r="E201" s="32">
        <f>(C201-$B$36)/2</f>
        <v>-0.8</v>
      </c>
    </row>
    <row r="202" spans="1:6" ht="15.75">
      <c r="B202" s="14" t="s">
        <v>174</v>
      </c>
      <c r="C202" s="35">
        <v>0</v>
      </c>
      <c r="D202" s="14" t="s">
        <v>170</v>
      </c>
      <c r="E202" s="32">
        <f>(C202-$B$36)/2</f>
        <v>-0.8</v>
      </c>
    </row>
    <row r="203" spans="1:6">
      <c r="E203" s="32"/>
    </row>
    <row r="204" spans="1:6">
      <c r="A204" s="11" t="s">
        <v>176</v>
      </c>
    </row>
    <row r="205" spans="1:6" ht="14.25">
      <c r="B205" s="8" t="s">
        <v>177</v>
      </c>
      <c r="C205" s="1">
        <f>C68/D39</f>
        <v>23756.457406026489</v>
      </c>
      <c r="D205" s="13" t="s">
        <v>135</v>
      </c>
    </row>
    <row r="206" spans="1:6" ht="15">
      <c r="B206" s="8" t="s">
        <v>178</v>
      </c>
      <c r="C206" s="1">
        <f>C205*B163</f>
        <v>209817.03181002592</v>
      </c>
      <c r="D206" s="13" t="s">
        <v>135</v>
      </c>
    </row>
    <row r="207" spans="1:6" ht="15">
      <c r="B207" s="8" t="s">
        <v>179</v>
      </c>
      <c r="C207" s="1">
        <f>C205*B164</f>
        <v>432937.67976742674</v>
      </c>
      <c r="D207" s="13" t="s">
        <v>135</v>
      </c>
      <c r="E207" s="8" t="s">
        <v>182</v>
      </c>
      <c r="F207" s="32">
        <f>(C206*E156+C207*E157+C208*E158+C209*E159+F68*E155)/F69</f>
        <v>5.6950000000000003</v>
      </c>
    </row>
    <row r="208" spans="1:6" ht="15">
      <c r="B208" s="8" t="s">
        <v>180</v>
      </c>
      <c r="C208" s="1">
        <f>C205*B165</f>
        <v>209817.03181002592</v>
      </c>
      <c r="D208" s="13" t="s">
        <v>135</v>
      </c>
      <c r="E208" s="8" t="s">
        <v>239</v>
      </c>
      <c r="F208" s="32">
        <f>(C206*E199+C207*E200+C208*E201+C209*E202+F68*C198)/F69</f>
        <v>-0.8</v>
      </c>
    </row>
    <row r="209" spans="1:6" ht="15">
      <c r="B209" s="8" t="s">
        <v>181</v>
      </c>
      <c r="C209" s="1">
        <f>C205*B166</f>
        <v>432937.67976742674</v>
      </c>
      <c r="D209" s="13" t="s">
        <v>135</v>
      </c>
      <c r="E209" t="str">
        <f>IF(SUM(C206:C209)=C68,"…ok","Checa los datos")</f>
        <v>…ok</v>
      </c>
    </row>
    <row r="211" spans="1:6">
      <c r="A211" t="s">
        <v>183</v>
      </c>
    </row>
    <row r="213" spans="1:6">
      <c r="A213" t="s">
        <v>184</v>
      </c>
    </row>
    <row r="214" spans="1:6">
      <c r="A214" t="s">
        <v>192</v>
      </c>
      <c r="B214" s="19" t="s">
        <v>191</v>
      </c>
      <c r="C214" s="19" t="s">
        <v>194</v>
      </c>
      <c r="D214" s="19" t="s">
        <v>195</v>
      </c>
    </row>
    <row r="215" spans="1:6">
      <c r="A215" t="s">
        <v>193</v>
      </c>
      <c r="B215" s="42">
        <v>2.36</v>
      </c>
      <c r="C215" s="42">
        <v>4.07</v>
      </c>
      <c r="D215" s="42">
        <v>2.44</v>
      </c>
    </row>
    <row r="216" spans="1:6">
      <c r="A216" t="s">
        <v>190</v>
      </c>
      <c r="B216" s="36">
        <f>B35</f>
        <v>5.52</v>
      </c>
      <c r="C216" s="42">
        <v>1.1200000000000001</v>
      </c>
      <c r="D216" s="42">
        <v>2.44</v>
      </c>
    </row>
    <row r="218" spans="1:6">
      <c r="A218" s="37" t="s">
        <v>185</v>
      </c>
      <c r="B218" s="37" t="s">
        <v>186</v>
      </c>
      <c r="C218" s="37" t="s">
        <v>123</v>
      </c>
      <c r="D218" s="37" t="s">
        <v>124</v>
      </c>
      <c r="E218" s="37" t="s">
        <v>187</v>
      </c>
      <c r="F218" s="37" t="s">
        <v>188</v>
      </c>
    </row>
    <row r="219" spans="1:6">
      <c r="A219" s="37" t="s">
        <v>189</v>
      </c>
      <c r="B219" s="4">
        <f>B39*E41</f>
        <v>119.45831999999999</v>
      </c>
      <c r="C219" s="36">
        <f>F170</f>
        <v>5.6950000000000003</v>
      </c>
      <c r="D219" s="36">
        <f>F171</f>
        <v>2.76</v>
      </c>
      <c r="E219" s="1">
        <f>B219*2.4*C219</f>
        <v>1632.7563177599998</v>
      </c>
      <c r="F219" s="1">
        <f>B219*2.4*D219</f>
        <v>791.29191167999977</v>
      </c>
    </row>
    <row r="220" spans="1:6">
      <c r="A220" s="10" t="s">
        <v>193</v>
      </c>
      <c r="B220" s="4">
        <f>B215*C215*D215</f>
        <v>23.436688</v>
      </c>
      <c r="C220" s="36">
        <f>C215/2</f>
        <v>2.0350000000000001</v>
      </c>
      <c r="D220" s="36">
        <f>D219</f>
        <v>2.76</v>
      </c>
      <c r="E220" s="1">
        <f>B220*2.4*C220</f>
        <v>114.46478419200001</v>
      </c>
      <c r="F220" s="1">
        <f>B220*2.4*D220</f>
        <v>155.24462131199999</v>
      </c>
    </row>
    <row r="221" spans="1:6">
      <c r="A221" s="10" t="s">
        <v>190</v>
      </c>
      <c r="B221" s="4">
        <f>B216*C216*D216</f>
        <v>15.085056</v>
      </c>
      <c r="C221" s="36">
        <f>E158-C216/2</f>
        <v>10.83</v>
      </c>
      <c r="D221" s="36">
        <f>D220</f>
        <v>2.76</v>
      </c>
      <c r="E221" s="1">
        <f>B221*2.4*C221</f>
        <v>392.09077555200003</v>
      </c>
      <c r="F221" s="1">
        <f>B221*2.4*D221</f>
        <v>99.923410943999997</v>
      </c>
    </row>
    <row r="222" spans="1:6">
      <c r="A222" s="10" t="s">
        <v>201</v>
      </c>
      <c r="B222" s="45">
        <v>15.5</v>
      </c>
      <c r="C222" s="36">
        <f>C220</f>
        <v>2.0350000000000001</v>
      </c>
      <c r="D222" s="36">
        <f>D220</f>
        <v>2.76</v>
      </c>
      <c r="E222" s="1">
        <f>B222*C222</f>
        <v>31.542500000000004</v>
      </c>
      <c r="F222" s="1">
        <f>B222*D222</f>
        <v>42.779999999999994</v>
      </c>
    </row>
    <row r="223" spans="1:6">
      <c r="A223" s="10" t="s">
        <v>200</v>
      </c>
      <c r="B223" s="45">
        <v>22</v>
      </c>
      <c r="C223" s="36">
        <f>C219</f>
        <v>5.6950000000000003</v>
      </c>
      <c r="D223" s="36">
        <f>D219</f>
        <v>2.76</v>
      </c>
      <c r="E223" s="1">
        <f>B223*C223</f>
        <v>125.29</v>
      </c>
      <c r="F223" s="1">
        <f>B223*D223</f>
        <v>60.72</v>
      </c>
    </row>
    <row r="224" spans="1:6">
      <c r="A224" s="10" t="s">
        <v>199</v>
      </c>
      <c r="B224" s="45">
        <v>21.25</v>
      </c>
      <c r="C224" s="36">
        <f>C223</f>
        <v>5.6950000000000003</v>
      </c>
      <c r="D224" s="36">
        <f>D223</f>
        <v>2.76</v>
      </c>
      <c r="E224" s="1">
        <f>B224*C224</f>
        <v>121.01875000000001</v>
      </c>
      <c r="F224" s="1">
        <f>B224*D224</f>
        <v>58.65</v>
      </c>
    </row>
    <row r="225" spans="1:6">
      <c r="A225" s="29" t="s">
        <v>196</v>
      </c>
      <c r="B225" s="4">
        <f>SUM(B219:B221)*2.4+SUM(B222:B224)</f>
        <v>437.90215359999996</v>
      </c>
      <c r="C225" s="19"/>
      <c r="D225" s="19"/>
      <c r="E225" s="1">
        <f>SUM(E219:E224)</f>
        <v>2417.1631275039999</v>
      </c>
      <c r="F225" s="1">
        <f>SUM(F219:F224)</f>
        <v>1208.6099439359998</v>
      </c>
    </row>
    <row r="227" spans="1:6">
      <c r="A227" s="10" t="s">
        <v>202</v>
      </c>
      <c r="D227" s="14" t="s">
        <v>197</v>
      </c>
      <c r="E227" s="36">
        <f>E225/B225</f>
        <v>5.5198703811627023</v>
      </c>
    </row>
    <row r="228" spans="1:6">
      <c r="D228" s="14" t="s">
        <v>198</v>
      </c>
      <c r="E228" s="36">
        <f>F225/B225</f>
        <v>2.76</v>
      </c>
    </row>
    <row r="230" spans="1:6">
      <c r="A230" s="13" t="s">
        <v>220</v>
      </c>
      <c r="C230" s="36">
        <f>E155-E227</f>
        <v>0.17512961883729794</v>
      </c>
    </row>
    <row r="231" spans="1:6">
      <c r="A231" s="13" t="s">
        <v>221</v>
      </c>
      <c r="C231" s="36">
        <f>G155-E228</f>
        <v>0</v>
      </c>
    </row>
    <row r="232" spans="1:6">
      <c r="A232" s="13" t="s">
        <v>206</v>
      </c>
      <c r="C232" s="14" t="s">
        <v>203</v>
      </c>
      <c r="D232" s="38">
        <f>B225*ABS(E228-G155)</f>
        <v>0</v>
      </c>
      <c r="E232" s="13" t="s">
        <v>205</v>
      </c>
    </row>
    <row r="233" spans="1:6">
      <c r="C233" s="14" t="s">
        <v>204</v>
      </c>
      <c r="D233" s="38">
        <f>B225*C230</f>
        <v>76.689637247999883</v>
      </c>
      <c r="E233" s="13" t="s">
        <v>205</v>
      </c>
    </row>
    <row r="234" spans="1:6">
      <c r="A234" s="13" t="s">
        <v>207</v>
      </c>
    </row>
    <row r="235" spans="1:6" ht="14.25">
      <c r="C235" s="8" t="s">
        <v>210</v>
      </c>
      <c r="D235" s="9">
        <f>(B225/B39)+D232*D36/B40</f>
        <v>6.9648902800575128</v>
      </c>
      <c r="E235" s="10" t="s">
        <v>11</v>
      </c>
    </row>
    <row r="236" spans="1:6" ht="14.25">
      <c r="C236" s="8" t="s">
        <v>211</v>
      </c>
      <c r="D236" s="9">
        <f>(B225/B39)+D233*F36/E40</f>
        <v>7.6074321132392901</v>
      </c>
      <c r="E236" s="10" t="s">
        <v>11</v>
      </c>
    </row>
    <row r="238" spans="1:6">
      <c r="A238" s="10" t="s">
        <v>212</v>
      </c>
    </row>
    <row r="240" spans="1:6" ht="15.75">
      <c r="A240" s="13" t="s">
        <v>216</v>
      </c>
      <c r="C240" s="14" t="s">
        <v>217</v>
      </c>
      <c r="D240">
        <f>C241*B242*POWER(B47,2)</f>
        <v>0.3613199469049877</v>
      </c>
    </row>
    <row r="241" spans="1:4">
      <c r="A241" s="13" t="s">
        <v>213</v>
      </c>
      <c r="B241" s="43">
        <v>1</v>
      </c>
      <c r="C241">
        <f>B241*28.7/1000/1000</f>
        <v>2.87E-5</v>
      </c>
      <c r="D241" s="13" t="s">
        <v>214</v>
      </c>
    </row>
    <row r="242" spans="1:4">
      <c r="A242" s="13" t="s">
        <v>215</v>
      </c>
      <c r="B242" s="42">
        <v>1.45</v>
      </c>
    </row>
    <row r="244" spans="1:4">
      <c r="A244" s="13" t="s">
        <v>218</v>
      </c>
    </row>
    <row r="246" spans="1:4">
      <c r="A246" s="29" t="s">
        <v>219</v>
      </c>
      <c r="B246" s="29" t="s">
        <v>255</v>
      </c>
      <c r="C246" s="29" t="s">
        <v>256</v>
      </c>
      <c r="D246" s="29" t="s">
        <v>259</v>
      </c>
    </row>
    <row r="247" spans="1:4">
      <c r="A247">
        <v>0</v>
      </c>
      <c r="B247" s="47">
        <f t="shared" ref="B247:B267" si="0">$D$240*COS(-$B$47*A247)</f>
        <v>0.3613199469049877</v>
      </c>
      <c r="C247" s="47">
        <f t="shared" ref="C247:C267" si="1">$D$240*SIN(-$B$47*A247)</f>
        <v>0</v>
      </c>
      <c r="D247" s="47">
        <f>SQRT(POWER(B247,2)+POWER(C247,2))</f>
        <v>0.3613199469049877</v>
      </c>
    </row>
    <row r="248" spans="1:4">
      <c r="A248">
        <v>1</v>
      </c>
      <c r="B248" s="47">
        <f t="shared" si="0"/>
        <v>0.17406721194771191</v>
      </c>
      <c r="C248" s="47">
        <f t="shared" si="1"/>
        <v>0.31662708310593629</v>
      </c>
      <c r="D248" s="47">
        <f t="shared" ref="D248:D267" si="2">SQRT(POWER(B248,2)+POWER(C248,2))</f>
        <v>0.3613199469049877</v>
      </c>
    </row>
    <row r="249" spans="1:4">
      <c r="A249">
        <v>2</v>
      </c>
      <c r="B249" s="47">
        <f t="shared" si="0"/>
        <v>-0.1936049091120858</v>
      </c>
      <c r="C249" s="47">
        <f t="shared" si="1"/>
        <v>0.30507252121278328</v>
      </c>
      <c r="D249" s="47">
        <f t="shared" si="2"/>
        <v>0.3613199469049877</v>
      </c>
    </row>
    <row r="250" spans="1:4">
      <c r="A250">
        <v>3</v>
      </c>
      <c r="B250" s="47">
        <f t="shared" si="0"/>
        <v>-0.36060696452546109</v>
      </c>
      <c r="C250" s="47">
        <f t="shared" si="1"/>
        <v>-2.2687467182477033E-2</v>
      </c>
      <c r="D250" s="47">
        <f t="shared" si="2"/>
        <v>0.3613199469049877</v>
      </c>
    </row>
    <row r="251" spans="1:4">
      <c r="A251">
        <v>4</v>
      </c>
      <c r="B251" s="47">
        <f t="shared" si="0"/>
        <v>-0.15384255102152453</v>
      </c>
      <c r="C251" s="47">
        <f t="shared" si="1"/>
        <v>-0.32693206255522378</v>
      </c>
      <c r="D251" s="47">
        <f t="shared" si="2"/>
        <v>0.3613199469049877</v>
      </c>
    </row>
    <row r="252" spans="1:4">
      <c r="A252">
        <v>5</v>
      </c>
      <c r="B252" s="47">
        <f t="shared" si="0"/>
        <v>0.21237853614986327</v>
      </c>
      <c r="C252" s="47">
        <f t="shared" si="1"/>
        <v>-0.29231397745277998</v>
      </c>
      <c r="D252" s="47">
        <f t="shared" si="2"/>
        <v>0.3613199469049877</v>
      </c>
    </row>
    <row r="253" spans="1:4">
      <c r="A253">
        <v>6</v>
      </c>
      <c r="B253" s="47">
        <f t="shared" si="0"/>
        <v>0.35847083120260265</v>
      </c>
      <c r="C253" s="47">
        <f t="shared" si="1"/>
        <v>4.5285397296902577E-2</v>
      </c>
      <c r="D253" s="47">
        <f t="shared" si="2"/>
        <v>0.3613199469049877</v>
      </c>
    </row>
    <row r="254" spans="1:4">
      <c r="A254">
        <v>7</v>
      </c>
      <c r="B254" s="47">
        <f t="shared" si="0"/>
        <v>0.13301074383043077</v>
      </c>
      <c r="C254" s="47">
        <f t="shared" si="1"/>
        <v>0.3359467905146567</v>
      </c>
      <c r="D254" s="47">
        <f t="shared" si="2"/>
        <v>0.3613199469049877</v>
      </c>
    </row>
    <row r="255" spans="1:4">
      <c r="A255">
        <v>8</v>
      </c>
      <c r="B255" s="47">
        <f t="shared" si="0"/>
        <v>-0.23031400213198036</v>
      </c>
      <c r="C255" s="47">
        <f t="shared" si="1"/>
        <v>0.27840180396932285</v>
      </c>
      <c r="D255" s="47">
        <f t="shared" si="2"/>
        <v>0.3613199469049877</v>
      </c>
    </row>
    <row r="256" spans="1:4">
      <c r="A256">
        <v>9</v>
      </c>
      <c r="B256" s="47">
        <f t="shared" si="0"/>
        <v>-0.35491997727873109</v>
      </c>
      <c r="C256" s="47">
        <f t="shared" si="1"/>
        <v>-6.7704606637127185E-2</v>
      </c>
      <c r="D256" s="47">
        <f t="shared" si="2"/>
        <v>0.3613199469049877</v>
      </c>
    </row>
    <row r="257" spans="1:7">
      <c r="A257">
        <v>10</v>
      </c>
      <c r="B257" s="47">
        <f t="shared" si="0"/>
        <v>-0.11165400400026654</v>
      </c>
      <c r="C257" s="47">
        <f t="shared" si="1"/>
        <v>-0.34363568997141669</v>
      </c>
      <c r="D257" s="47">
        <f t="shared" si="2"/>
        <v>0.3613199469049877</v>
      </c>
    </row>
    <row r="258" spans="1:7">
      <c r="A258">
        <v>11</v>
      </c>
      <c r="B258" s="47">
        <f t="shared" si="0"/>
        <v>0.24734052396814071</v>
      </c>
      <c r="C258" s="47">
        <f t="shared" si="1"/>
        <v>-0.26339090575528373</v>
      </c>
      <c r="D258" s="47">
        <f t="shared" si="2"/>
        <v>0.3613199469049877</v>
      </c>
    </row>
    <row r="259" spans="1:7">
      <c r="A259">
        <v>12</v>
      </c>
      <c r="B259" s="47">
        <f t="shared" si="0"/>
        <v>0.34996841635205328</v>
      </c>
      <c r="C259" s="47">
        <f t="shared" si="1"/>
        <v>8.9856616826247376E-2</v>
      </c>
      <c r="D259" s="47">
        <f t="shared" si="2"/>
        <v>0.36131994690498775</v>
      </c>
    </row>
    <row r="260" spans="1:7">
      <c r="A260">
        <v>13</v>
      </c>
      <c r="B260" s="47">
        <f t="shared" si="0"/>
        <v>8.985661682617517E-2</v>
      </c>
      <c r="C260" s="47">
        <f t="shared" si="1"/>
        <v>0.34996841635207182</v>
      </c>
      <c r="D260" s="47">
        <f t="shared" si="2"/>
        <v>0.36131994690498775</v>
      </c>
    </row>
    <row r="261" spans="1:7">
      <c r="A261">
        <v>14</v>
      </c>
      <c r="B261" s="47">
        <f t="shared" si="0"/>
        <v>-0.26339090575533475</v>
      </c>
      <c r="C261" s="47">
        <f t="shared" si="1"/>
        <v>0.24734052396808634</v>
      </c>
      <c r="D261" s="47">
        <f t="shared" si="2"/>
        <v>0.3613199469049877</v>
      </c>
    </row>
    <row r="262" spans="1:7">
      <c r="A262">
        <v>15</v>
      </c>
      <c r="B262" s="47">
        <f t="shared" si="0"/>
        <v>-0.34363568997139365</v>
      </c>
      <c r="C262" s="47">
        <f t="shared" si="1"/>
        <v>-0.11165400400033741</v>
      </c>
      <c r="D262" s="47">
        <f t="shared" si="2"/>
        <v>0.3613199469049877</v>
      </c>
    </row>
    <row r="263" spans="1:7">
      <c r="A263">
        <v>16</v>
      </c>
      <c r="B263" s="47">
        <f t="shared" si="0"/>
        <v>-6.7704606637053952E-2</v>
      </c>
      <c r="C263" s="47">
        <f t="shared" si="1"/>
        <v>-0.35491997727874508</v>
      </c>
      <c r="D263" s="47">
        <f t="shared" si="2"/>
        <v>0.3613199469049877</v>
      </c>
    </row>
    <row r="264" spans="1:7">
      <c r="A264">
        <v>17</v>
      </c>
      <c r="B264" s="47">
        <f t="shared" si="0"/>
        <v>0.27840180396937036</v>
      </c>
      <c r="C264" s="47">
        <f t="shared" si="1"/>
        <v>-0.23031400213192293</v>
      </c>
      <c r="D264" s="47">
        <f t="shared" si="2"/>
        <v>0.3613199469049877</v>
      </c>
    </row>
    <row r="265" spans="1:7">
      <c r="A265">
        <v>18</v>
      </c>
      <c r="B265" s="47">
        <f t="shared" si="0"/>
        <v>0.33594679051462928</v>
      </c>
      <c r="C265" s="47">
        <f t="shared" si="1"/>
        <v>0.1330107438305001</v>
      </c>
      <c r="D265" s="47">
        <f t="shared" si="2"/>
        <v>0.3613199469049877</v>
      </c>
    </row>
    <row r="266" spans="1:7">
      <c r="A266">
        <v>19</v>
      </c>
      <c r="B266" s="47">
        <f t="shared" si="0"/>
        <v>4.5285397296828629E-2</v>
      </c>
      <c r="C266" s="47">
        <f t="shared" si="1"/>
        <v>0.35847083120261197</v>
      </c>
      <c r="D266" s="47">
        <f t="shared" si="2"/>
        <v>0.3613199469049877</v>
      </c>
    </row>
    <row r="267" spans="1:7">
      <c r="A267">
        <v>20</v>
      </c>
      <c r="B267" s="47">
        <f t="shared" si="0"/>
        <v>-0.29231397745282378</v>
      </c>
      <c r="C267" s="47">
        <f t="shared" si="1"/>
        <v>0.21237853614980293</v>
      </c>
      <c r="D267" s="47">
        <f t="shared" si="2"/>
        <v>0.3613199469049877</v>
      </c>
    </row>
    <row r="268" spans="1:7">
      <c r="B268" s="47"/>
      <c r="C268" s="47"/>
      <c r="D268" s="47"/>
    </row>
    <row r="269" spans="1:7">
      <c r="A269" t="s">
        <v>243</v>
      </c>
    </row>
    <row r="271" spans="1:7">
      <c r="B271" s="47">
        <v>0</v>
      </c>
      <c r="C271" s="46"/>
      <c r="D271" s="46"/>
      <c r="E271" s="46"/>
      <c r="F271" s="46"/>
      <c r="G271" s="46"/>
    </row>
    <row r="272" spans="1:7">
      <c r="B272" s="47">
        <f>D240</f>
        <v>0.3613199469049877</v>
      </c>
      <c r="C272" s="46"/>
      <c r="D272" s="46"/>
      <c r="E272" s="46"/>
      <c r="F272" s="46"/>
      <c r="G272" s="46"/>
    </row>
    <row r="273" spans="1:7">
      <c r="A273" s="55" t="s">
        <v>262</v>
      </c>
      <c r="B273" s="47">
        <f>D240</f>
        <v>0.3613199469049877</v>
      </c>
      <c r="C273" s="46"/>
      <c r="D273" s="46"/>
      <c r="E273" s="46"/>
      <c r="F273" s="46"/>
      <c r="G273" s="46"/>
    </row>
    <row r="274" spans="1:7">
      <c r="A274" s="56"/>
      <c r="B274" s="47">
        <v>0</v>
      </c>
      <c r="C274" s="46"/>
      <c r="D274" s="46"/>
      <c r="E274" s="46"/>
      <c r="F274" s="46"/>
      <c r="G274" s="46"/>
    </row>
    <row r="275" spans="1:7">
      <c r="B275" s="47">
        <f>F271</f>
        <v>0</v>
      </c>
      <c r="C275" s="46"/>
      <c r="D275" s="46"/>
      <c r="E275" s="46"/>
      <c r="F275" s="46"/>
      <c r="G275" s="46"/>
    </row>
    <row r="276" spans="1:7">
      <c r="B276" s="47">
        <f>G271</f>
        <v>0</v>
      </c>
      <c r="C276" s="46"/>
      <c r="D276" s="46"/>
      <c r="E276" s="46"/>
      <c r="F276" s="46"/>
      <c r="G276" s="46"/>
    </row>
    <row r="278" spans="1:7">
      <c r="A278" t="s">
        <v>222</v>
      </c>
    </row>
    <row r="279" spans="1:7">
      <c r="A279" s="13" t="s">
        <v>231</v>
      </c>
    </row>
    <row r="280" spans="1:7">
      <c r="A280" s="29" t="s">
        <v>185</v>
      </c>
      <c r="B280" s="29" t="s">
        <v>223</v>
      </c>
      <c r="C280" s="29" t="s">
        <v>224</v>
      </c>
      <c r="D280" s="29" t="s">
        <v>225</v>
      </c>
      <c r="E280" s="29" t="s">
        <v>228</v>
      </c>
      <c r="F280" s="29" t="s">
        <v>226</v>
      </c>
    </row>
    <row r="281" spans="1:7">
      <c r="A281" s="29" t="s">
        <v>189</v>
      </c>
      <c r="B281" s="4">
        <f>B219*2.4/9.81</f>
        <v>29.225277064220176</v>
      </c>
      <c r="C281" s="6">
        <f>(POWER(B216,2)+POWER(E41,2))/12</f>
        <v>2.840033333333333</v>
      </c>
      <c r="D281" s="24">
        <v>0</v>
      </c>
      <c r="E281" s="1">
        <f>B281*D281</f>
        <v>0</v>
      </c>
      <c r="F281" s="1">
        <f>C281*B281+E281</f>
        <v>83.000761038287436</v>
      </c>
    </row>
    <row r="282" spans="1:7">
      <c r="A282" s="13" t="s">
        <v>199</v>
      </c>
      <c r="B282" s="4">
        <f>B224/9.81</f>
        <v>2.1661569826707439</v>
      </c>
      <c r="C282" s="6">
        <f>106.25/9.81</f>
        <v>10.830784913353719</v>
      </c>
      <c r="D282" s="6">
        <v>5.33</v>
      </c>
      <c r="E282" s="1">
        <f t="shared" ref="E282" si="3">B282*D282</f>
        <v>11.545616717635065</v>
      </c>
      <c r="F282" s="1">
        <f>C282+E282</f>
        <v>22.376401630988784</v>
      </c>
    </row>
    <row r="283" spans="1:7">
      <c r="A283" s="29" t="s">
        <v>196</v>
      </c>
      <c r="B283" s="4">
        <f>SUM(B281:B282)</f>
        <v>31.391434046890922</v>
      </c>
      <c r="C283" s="6"/>
      <c r="D283" s="19"/>
      <c r="E283" s="44" t="s">
        <v>230</v>
      </c>
      <c r="F283" s="1">
        <f>SUM(F281:F282)</f>
        <v>105.37716266927622</v>
      </c>
      <c r="G283" s="13" t="s">
        <v>229</v>
      </c>
    </row>
    <row r="285" spans="1:7">
      <c r="A285" s="13" t="s">
        <v>232</v>
      </c>
    </row>
    <row r="286" spans="1:7">
      <c r="A286" s="29" t="s">
        <v>185</v>
      </c>
      <c r="B286" s="29" t="s">
        <v>223</v>
      </c>
      <c r="C286" s="29" t="s">
        <v>224</v>
      </c>
      <c r="D286" s="29" t="s">
        <v>225</v>
      </c>
      <c r="E286" s="29" t="s">
        <v>228</v>
      </c>
      <c r="F286" s="29" t="s">
        <v>226</v>
      </c>
    </row>
    <row r="287" spans="1:7">
      <c r="A287" s="29" t="s">
        <v>189</v>
      </c>
      <c r="B287" s="4">
        <f>B281</f>
        <v>29.225277064220176</v>
      </c>
      <c r="C287" s="6">
        <f>(POWER(D35,2)+POWER(E41,2))/12</f>
        <v>11.111841666666669</v>
      </c>
      <c r="D287" s="24">
        <v>0</v>
      </c>
      <c r="E287" s="1">
        <f>B287*D287</f>
        <v>0</v>
      </c>
      <c r="F287" s="1">
        <f>C287*B287+E287</f>
        <v>324.74665140207946</v>
      </c>
    </row>
    <row r="288" spans="1:7">
      <c r="A288" s="13" t="s">
        <v>199</v>
      </c>
      <c r="B288" s="4">
        <f t="shared" ref="B288" si="4">B282</f>
        <v>2.1661569826707439</v>
      </c>
      <c r="C288" s="6">
        <f>106.25/9.81</f>
        <v>10.830784913353719</v>
      </c>
      <c r="D288" s="6">
        <v>5.33</v>
      </c>
      <c r="E288" s="1">
        <f t="shared" ref="E288" si="5">B288*D288</f>
        <v>11.545616717635065</v>
      </c>
      <c r="F288" s="1">
        <f>C288+E288</f>
        <v>22.376401630988784</v>
      </c>
    </row>
    <row r="289" spans="1:7">
      <c r="A289" s="29" t="s">
        <v>196</v>
      </c>
      <c r="B289" s="4">
        <f>SUM(B287:B288)</f>
        <v>31.391434046890922</v>
      </c>
      <c r="C289" s="6"/>
      <c r="D289" s="19"/>
      <c r="E289" s="44" t="s">
        <v>230</v>
      </c>
      <c r="F289" s="1">
        <f>SUM(F287:F288)</f>
        <v>347.12305303306823</v>
      </c>
      <c r="G289" s="13" t="s">
        <v>229</v>
      </c>
    </row>
    <row r="290" spans="1:7">
      <c r="A290" s="29"/>
      <c r="B290" s="4"/>
      <c r="C290" s="6"/>
      <c r="D290" s="19"/>
      <c r="E290" s="44"/>
      <c r="F290" s="1"/>
      <c r="G290" s="13"/>
    </row>
    <row r="291" spans="1:7">
      <c r="A291" s="29"/>
      <c r="B291" s="4"/>
      <c r="C291" s="6"/>
      <c r="D291" s="19"/>
      <c r="E291" s="44"/>
      <c r="F291" s="1"/>
      <c r="G291" s="13"/>
    </row>
    <row r="292" spans="1:7">
      <c r="A292" s="13" t="s">
        <v>233</v>
      </c>
    </row>
    <row r="293" spans="1:7">
      <c r="A293" s="29" t="s">
        <v>185</v>
      </c>
      <c r="B293" s="29" t="s">
        <v>223</v>
      </c>
      <c r="C293" s="29" t="s">
        <v>224</v>
      </c>
      <c r="D293" s="29" t="s">
        <v>225</v>
      </c>
      <c r="E293" s="29" t="s">
        <v>228</v>
      </c>
      <c r="F293" s="29" t="s">
        <v>226</v>
      </c>
    </row>
    <row r="294" spans="1:7">
      <c r="A294" s="29" t="s">
        <v>189</v>
      </c>
      <c r="B294" s="4">
        <f>B287</f>
        <v>29.225277064220176</v>
      </c>
      <c r="C294" s="6">
        <f>(POWER(D35,2)+POWER(B35,2))/12</f>
        <v>13.350208333333333</v>
      </c>
      <c r="D294" s="24">
        <v>0</v>
      </c>
      <c r="E294" s="1">
        <f>B294*D294</f>
        <v>0</v>
      </c>
      <c r="F294" s="1">
        <f>C294*B294+E294</f>
        <v>390.1635374067277</v>
      </c>
    </row>
    <row r="295" spans="1:7">
      <c r="A295" s="29" t="s">
        <v>196</v>
      </c>
      <c r="B295" s="4">
        <f>SUM(B294:B294)</f>
        <v>29.225277064220176</v>
      </c>
      <c r="C295" s="6"/>
      <c r="D295" s="19"/>
      <c r="E295" s="44" t="s">
        <v>230</v>
      </c>
      <c r="F295" s="1">
        <f>SUM(F294:F294)</f>
        <v>390.1635374067277</v>
      </c>
      <c r="G295" s="13" t="s">
        <v>229</v>
      </c>
    </row>
    <row r="296" spans="1:7">
      <c r="A296" s="29"/>
      <c r="B296" s="4"/>
      <c r="C296" s="6"/>
      <c r="D296" s="19"/>
      <c r="E296" s="44"/>
      <c r="F296" s="1"/>
      <c r="G296" s="13"/>
    </row>
    <row r="297" spans="1:7">
      <c r="A297" s="13" t="s">
        <v>235</v>
      </c>
      <c r="C297" s="4">
        <f>B283+(B220+B221)*2.4/9.81</f>
        <v>40.815713924566765</v>
      </c>
      <c r="D297" s="13" t="s">
        <v>236</v>
      </c>
    </row>
    <row r="298" spans="1:7">
      <c r="A298" s="13" t="s">
        <v>234</v>
      </c>
      <c r="C298" s="4"/>
      <c r="D298" s="13"/>
      <c r="E298" s="13"/>
    </row>
    <row r="300" spans="1:7">
      <c r="B300" s="4">
        <f>C297</f>
        <v>40.815713924566765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</row>
    <row r="301" spans="1:7">
      <c r="B301" s="19">
        <v>0</v>
      </c>
      <c r="C301" s="4">
        <f>C297</f>
        <v>40.815713924566765</v>
      </c>
      <c r="D301" s="19">
        <v>0</v>
      </c>
      <c r="E301" s="19">
        <v>0</v>
      </c>
      <c r="F301" s="19">
        <v>0</v>
      </c>
      <c r="G301" s="19">
        <v>0</v>
      </c>
    </row>
    <row r="302" spans="1:7">
      <c r="A302" s="55" t="s">
        <v>237</v>
      </c>
      <c r="B302" s="19">
        <v>0</v>
      </c>
      <c r="C302" s="19">
        <v>0</v>
      </c>
      <c r="D302" s="4">
        <f>C297</f>
        <v>40.815713924566765</v>
      </c>
      <c r="E302" s="19">
        <v>0</v>
      </c>
      <c r="F302" s="19">
        <v>0</v>
      </c>
      <c r="G302" s="19">
        <v>0</v>
      </c>
    </row>
    <row r="303" spans="1:7">
      <c r="A303" s="56"/>
      <c r="B303" s="19">
        <v>0</v>
      </c>
      <c r="C303" s="19">
        <v>0</v>
      </c>
      <c r="D303" s="19">
        <v>0</v>
      </c>
      <c r="E303" s="4">
        <f>F283</f>
        <v>105.37716266927622</v>
      </c>
      <c r="F303" s="19">
        <v>0</v>
      </c>
      <c r="G303" s="19">
        <v>0</v>
      </c>
    </row>
    <row r="304" spans="1:7">
      <c r="B304" s="19">
        <v>0</v>
      </c>
      <c r="C304" s="19">
        <v>0</v>
      </c>
      <c r="D304" s="19">
        <v>0</v>
      </c>
      <c r="E304" s="19">
        <v>0</v>
      </c>
      <c r="F304" s="4">
        <f>F289</f>
        <v>347.12305303306823</v>
      </c>
      <c r="G304" s="19">
        <v>0</v>
      </c>
    </row>
    <row r="305" spans="1:7">
      <c r="B305" s="19">
        <v>0</v>
      </c>
      <c r="C305" s="19">
        <v>0</v>
      </c>
      <c r="D305" s="19">
        <v>0</v>
      </c>
      <c r="E305" s="19">
        <v>0</v>
      </c>
      <c r="F305" s="19">
        <v>0</v>
      </c>
      <c r="G305" s="6">
        <f>B41</f>
        <v>839.36497850000001</v>
      </c>
    </row>
    <row r="307" spans="1:7">
      <c r="A307" s="13" t="s">
        <v>238</v>
      </c>
    </row>
    <row r="309" spans="1:7">
      <c r="B309" s="46">
        <f>D80</f>
        <v>4536825.2757302467</v>
      </c>
      <c r="C309" s="46">
        <v>0</v>
      </c>
      <c r="D309" s="46">
        <v>0</v>
      </c>
      <c r="E309" s="46">
        <v>0</v>
      </c>
      <c r="F309" s="46">
        <f>D80*E195</f>
        <v>-3629460.2205841974</v>
      </c>
      <c r="G309" s="46">
        <f>-D80*E194</f>
        <v>-12521637.76101548</v>
      </c>
    </row>
    <row r="310" spans="1:7">
      <c r="B310" s="46">
        <v>0</v>
      </c>
      <c r="C310" s="46">
        <f>D81</f>
        <v>4792539.3290231712</v>
      </c>
      <c r="D310" s="46">
        <v>0</v>
      </c>
      <c r="E310" s="46">
        <f>-D81*F208</f>
        <v>3834031.4632185372</v>
      </c>
      <c r="F310" s="46">
        <v>0</v>
      </c>
      <c r="G310" s="46">
        <f>D81*F207</f>
        <v>27293511.47878696</v>
      </c>
    </row>
    <row r="311" spans="1:7">
      <c r="A311" s="55" t="s">
        <v>242</v>
      </c>
      <c r="B311" s="46">
        <v>0</v>
      </c>
      <c r="C311" s="46">
        <v>0</v>
      </c>
      <c r="D311" s="46">
        <f>C60</f>
        <v>3397228.8993437868</v>
      </c>
      <c r="E311" s="46">
        <f>C60*F171</f>
        <v>9376351.76218885</v>
      </c>
      <c r="F311" s="46">
        <f>-C60*F170</f>
        <v>-19347218.581762865</v>
      </c>
      <c r="G311" s="46">
        <v>0</v>
      </c>
    </row>
    <row r="312" spans="1:7">
      <c r="A312" s="56"/>
      <c r="B312" s="46">
        <v>0</v>
      </c>
      <c r="C312" s="46">
        <f>E310</f>
        <v>3834031.4632185372</v>
      </c>
      <c r="D312" s="46">
        <f>E311</f>
        <v>9376351.76218885</v>
      </c>
      <c r="E312" s="46">
        <f>D91+D81*POWER(F208,2)+C60*POWER(F171,2)</f>
        <v>79746396.281108409</v>
      </c>
      <c r="F312" s="46">
        <f>C60*F170*F171</f>
        <v>53398323.285665505</v>
      </c>
      <c r="G312" s="46">
        <f>-D81*F207*F208</f>
        <v>21834809.18302957</v>
      </c>
    </row>
    <row r="313" spans="1:7">
      <c r="B313" s="46">
        <f>F309</f>
        <v>-3629460.2205841974</v>
      </c>
      <c r="C313" s="46">
        <v>0</v>
      </c>
      <c r="D313" s="46">
        <f>F311</f>
        <v>-19347218.581762865</v>
      </c>
      <c r="E313" s="46">
        <f>F312</f>
        <v>53398323.285665505</v>
      </c>
      <c r="F313" s="46">
        <f>D92+D80*POWER(E195,2)+C60*POWER(F170,2)</f>
        <v>240827187.34897637</v>
      </c>
      <c r="G313" s="46">
        <f>-D80*E194*E195</f>
        <v>10017310.208812384</v>
      </c>
    </row>
    <row r="314" spans="1:7">
      <c r="B314" s="46">
        <f>G309</f>
        <v>-12521637.76101548</v>
      </c>
      <c r="C314" s="46">
        <f>G310</f>
        <v>27293511.47878696</v>
      </c>
      <c r="D314" s="46">
        <v>0</v>
      </c>
      <c r="E314" s="46">
        <f>G312</f>
        <v>21834809.18302957</v>
      </c>
      <c r="F314" s="46">
        <f>G313</f>
        <v>10017310.208812384</v>
      </c>
      <c r="G314" s="46">
        <f>E104+D80*POWER(E194,2)+D81*POWER(F207,2)</f>
        <v>368643594.09187734</v>
      </c>
    </row>
    <row r="316" spans="1:7">
      <c r="B316" s="46">
        <f>B300*POWER($B$47,2)</f>
        <v>354380.18954976881</v>
      </c>
      <c r="C316" s="46">
        <f t="shared" ref="C316:G316" si="6">C300*POWER($B$47,2)</f>
        <v>0</v>
      </c>
      <c r="D316" s="46">
        <f t="shared" si="6"/>
        <v>0</v>
      </c>
      <c r="E316" s="46">
        <f t="shared" si="6"/>
        <v>0</v>
      </c>
      <c r="F316" s="46">
        <f t="shared" si="6"/>
        <v>0</v>
      </c>
      <c r="G316" s="46">
        <f t="shared" si="6"/>
        <v>0</v>
      </c>
    </row>
    <row r="317" spans="1:7">
      <c r="B317" s="46">
        <f t="shared" ref="B317:G321" si="7">B301*POWER($B$47,2)</f>
        <v>0</v>
      </c>
      <c r="C317" s="46">
        <f t="shared" si="7"/>
        <v>354380.18954976881</v>
      </c>
      <c r="D317" s="46">
        <f t="shared" si="7"/>
        <v>0</v>
      </c>
      <c r="E317" s="46">
        <f t="shared" si="7"/>
        <v>0</v>
      </c>
      <c r="F317" s="46">
        <f t="shared" si="7"/>
        <v>0</v>
      </c>
      <c r="G317" s="46">
        <f t="shared" si="7"/>
        <v>0</v>
      </c>
    </row>
    <row r="318" spans="1:7">
      <c r="A318" s="55" t="s">
        <v>240</v>
      </c>
      <c r="B318" s="46">
        <f t="shared" si="7"/>
        <v>0</v>
      </c>
      <c r="C318" s="46">
        <f t="shared" si="7"/>
        <v>0</v>
      </c>
      <c r="D318" s="46">
        <f t="shared" si="7"/>
        <v>354380.18954976881</v>
      </c>
      <c r="E318" s="46">
        <f t="shared" si="7"/>
        <v>0</v>
      </c>
      <c r="F318" s="46">
        <f t="shared" si="7"/>
        <v>0</v>
      </c>
      <c r="G318" s="46">
        <f t="shared" si="7"/>
        <v>0</v>
      </c>
    </row>
    <row r="319" spans="1:7">
      <c r="A319" s="56"/>
      <c r="B319" s="46">
        <f t="shared" si="7"/>
        <v>0</v>
      </c>
      <c r="C319" s="46">
        <f t="shared" si="7"/>
        <v>0</v>
      </c>
      <c r="D319" s="46">
        <f t="shared" si="7"/>
        <v>0</v>
      </c>
      <c r="E319" s="46">
        <f t="shared" si="7"/>
        <v>914931.41465003323</v>
      </c>
      <c r="F319" s="46">
        <f t="shared" si="7"/>
        <v>0</v>
      </c>
      <c r="G319" s="46">
        <f t="shared" si="7"/>
        <v>0</v>
      </c>
    </row>
    <row r="320" spans="1:7">
      <c r="B320" s="46">
        <f t="shared" si="7"/>
        <v>0</v>
      </c>
      <c r="C320" s="46">
        <f t="shared" si="7"/>
        <v>0</v>
      </c>
      <c r="D320" s="46">
        <f t="shared" si="7"/>
        <v>0</v>
      </c>
      <c r="E320" s="46">
        <f t="shared" si="7"/>
        <v>0</v>
      </c>
      <c r="F320" s="46">
        <f t="shared" si="7"/>
        <v>3013876.8014275008</v>
      </c>
      <c r="G320" s="46">
        <f t="shared" si="7"/>
        <v>0</v>
      </c>
    </row>
    <row r="321" spans="1:7">
      <c r="B321" s="46">
        <f t="shared" si="7"/>
        <v>0</v>
      </c>
      <c r="C321" s="46">
        <f t="shared" si="7"/>
        <v>0</v>
      </c>
      <c r="D321" s="46">
        <f t="shared" si="7"/>
        <v>0</v>
      </c>
      <c r="E321" s="46">
        <f t="shared" si="7"/>
        <v>0</v>
      </c>
      <c r="F321" s="46">
        <f t="shared" si="7"/>
        <v>0</v>
      </c>
      <c r="G321" s="46">
        <f t="shared" si="7"/>
        <v>7287740.2250516908</v>
      </c>
    </row>
    <row r="323" spans="1:7">
      <c r="B323" s="46">
        <f t="shared" ref="B323:G328" si="8">B309-B316</f>
        <v>4182445.0861804779</v>
      </c>
      <c r="C323" s="46">
        <f t="shared" si="8"/>
        <v>0</v>
      </c>
      <c r="D323" s="46">
        <f t="shared" si="8"/>
        <v>0</v>
      </c>
      <c r="E323" s="46">
        <f t="shared" si="8"/>
        <v>0</v>
      </c>
      <c r="F323" s="46">
        <f t="shared" si="8"/>
        <v>-3629460.2205841974</v>
      </c>
      <c r="G323" s="46">
        <f t="shared" si="8"/>
        <v>-12521637.76101548</v>
      </c>
    </row>
    <row r="324" spans="1:7">
      <c r="B324" s="46">
        <f t="shared" si="8"/>
        <v>0</v>
      </c>
      <c r="C324" s="46">
        <f t="shared" si="8"/>
        <v>4438159.1394734029</v>
      </c>
      <c r="D324" s="46">
        <f t="shared" si="8"/>
        <v>0</v>
      </c>
      <c r="E324" s="46">
        <f t="shared" si="8"/>
        <v>3834031.4632185372</v>
      </c>
      <c r="F324" s="46">
        <f t="shared" si="8"/>
        <v>0</v>
      </c>
      <c r="G324" s="46">
        <f t="shared" si="8"/>
        <v>27293511.47878696</v>
      </c>
    </row>
    <row r="325" spans="1:7">
      <c r="A325" s="55" t="s">
        <v>241</v>
      </c>
      <c r="B325" s="46">
        <f t="shared" si="8"/>
        <v>0</v>
      </c>
      <c r="C325" s="46">
        <f t="shared" si="8"/>
        <v>0</v>
      </c>
      <c r="D325" s="46">
        <f t="shared" si="8"/>
        <v>3042848.709794018</v>
      </c>
      <c r="E325" s="46">
        <f t="shared" si="8"/>
        <v>9376351.76218885</v>
      </c>
      <c r="F325" s="46">
        <f t="shared" si="8"/>
        <v>-19347218.581762865</v>
      </c>
      <c r="G325" s="46">
        <f t="shared" si="8"/>
        <v>0</v>
      </c>
    </row>
    <row r="326" spans="1:7">
      <c r="A326" s="56"/>
      <c r="B326" s="46">
        <f t="shared" si="8"/>
        <v>0</v>
      </c>
      <c r="C326" s="46">
        <f t="shared" si="8"/>
        <v>3834031.4632185372</v>
      </c>
      <c r="D326" s="46">
        <f t="shared" si="8"/>
        <v>9376351.76218885</v>
      </c>
      <c r="E326" s="46">
        <f t="shared" si="8"/>
        <v>78831464.866458371</v>
      </c>
      <c r="F326" s="46">
        <f t="shared" si="8"/>
        <v>53398323.285665505</v>
      </c>
      <c r="G326" s="46">
        <f t="shared" si="8"/>
        <v>21834809.18302957</v>
      </c>
    </row>
    <row r="327" spans="1:7">
      <c r="B327" s="46">
        <f t="shared" si="8"/>
        <v>-3629460.2205841974</v>
      </c>
      <c r="C327" s="46">
        <f t="shared" si="8"/>
        <v>0</v>
      </c>
      <c r="D327" s="46">
        <f t="shared" si="8"/>
        <v>-19347218.581762865</v>
      </c>
      <c r="E327" s="46">
        <f t="shared" si="8"/>
        <v>53398323.285665505</v>
      </c>
      <c r="F327" s="46">
        <f t="shared" si="8"/>
        <v>237813310.54754886</v>
      </c>
      <c r="G327" s="46">
        <f t="shared" si="8"/>
        <v>10017310.208812384</v>
      </c>
    </row>
    <row r="328" spans="1:7">
      <c r="B328" s="46">
        <f t="shared" si="8"/>
        <v>-12521637.76101548</v>
      </c>
      <c r="C328" s="46">
        <f t="shared" si="8"/>
        <v>27293511.47878696</v>
      </c>
      <c r="D328" s="46">
        <f t="shared" si="8"/>
        <v>0</v>
      </c>
      <c r="E328" s="46">
        <f t="shared" si="8"/>
        <v>21834809.18302957</v>
      </c>
      <c r="F328" s="46">
        <f t="shared" si="8"/>
        <v>10017310.208812384</v>
      </c>
      <c r="G328" s="46">
        <f t="shared" si="8"/>
        <v>361355853.86682564</v>
      </c>
    </row>
    <row r="329" spans="1:7">
      <c r="B329" s="4"/>
      <c r="C329" s="4"/>
      <c r="D329" s="4"/>
      <c r="E329" s="4"/>
      <c r="F329" s="4"/>
      <c r="G329" s="4"/>
    </row>
    <row r="330" spans="1:7">
      <c r="B330" s="51">
        <f t="array" ref="B330:G335">MINVERSE(B323:G328)</f>
        <v>2.9259637120190717E-7</v>
      </c>
      <c r="C330" s="51">
        <v>-1.2969407569902191E-7</v>
      </c>
      <c r="D330" s="51">
        <v>-7.0608520312469236E-8</v>
      </c>
      <c r="E330" s="51">
        <v>1.2709270593586364E-8</v>
      </c>
      <c r="F330" s="51">
        <v>-4.9456438817075186E-9</v>
      </c>
      <c r="G330" s="51">
        <v>1.9304046109211654E-8</v>
      </c>
    </row>
    <row r="331" spans="1:7">
      <c r="B331" s="51">
        <v>-1.2969407569902194E-7</v>
      </c>
      <c r="C331" s="51">
        <v>4.5581143820201008E-7</v>
      </c>
      <c r="D331" s="51">
        <v>-1.2810562386394015E-7</v>
      </c>
      <c r="E331" s="51">
        <v>1.3260175284858373E-8</v>
      </c>
      <c r="F331" s="51">
        <v>-1.3721557094665543E-8</v>
      </c>
      <c r="G331" s="51">
        <v>-3.9342817080070033E-8</v>
      </c>
    </row>
    <row r="332" spans="1:7" ht="14.25">
      <c r="A332" s="29" t="s">
        <v>261</v>
      </c>
      <c r="B332" s="51">
        <v>-7.0608520312469236E-8</v>
      </c>
      <c r="C332" s="51">
        <v>-1.2810562386394029E-7</v>
      </c>
      <c r="D332" s="51">
        <v>-6.4565970775762732E-7</v>
      </c>
      <c r="E332" s="51">
        <v>1.4041965330519224E-7</v>
      </c>
      <c r="F332" s="51">
        <v>-8.5181274922673097E-8</v>
      </c>
      <c r="G332" s="51">
        <v>1.1057491289385384E-9</v>
      </c>
    </row>
    <row r="333" spans="1:7">
      <c r="B333" s="51">
        <v>1.2709270593586349E-8</v>
      </c>
      <c r="C333" s="51">
        <v>1.3260175284858383E-8</v>
      </c>
      <c r="D333" s="51">
        <v>1.4041965330519221E-7</v>
      </c>
      <c r="E333" s="51">
        <v>-1.4754237014702285E-8</v>
      </c>
      <c r="F333" s="51">
        <v>1.4934179992633584E-8</v>
      </c>
      <c r="G333" s="51">
        <v>-8.3630103921787457E-11</v>
      </c>
    </row>
    <row r="334" spans="1:7">
      <c r="B334" s="51">
        <v>-4.9456438817075095E-9</v>
      </c>
      <c r="C334" s="51">
        <v>-1.372155709466555E-8</v>
      </c>
      <c r="D334" s="51">
        <v>-8.5181274922673084E-8</v>
      </c>
      <c r="E334" s="51">
        <v>1.4934179992633584E-8</v>
      </c>
      <c r="F334" s="51">
        <v>-6.1593146892245367E-9</v>
      </c>
      <c r="G334" s="51">
        <v>1.3337741687065122E-10</v>
      </c>
    </row>
    <row r="335" spans="1:7">
      <c r="B335" s="51">
        <v>1.9304046109211667E-8</v>
      </c>
      <c r="C335" s="51">
        <v>-3.9342817080070039E-8</v>
      </c>
      <c r="D335" s="51">
        <v>1.1057491289385264E-9</v>
      </c>
      <c r="E335" s="51">
        <v>-8.3630103921785997E-11</v>
      </c>
      <c r="F335" s="51">
        <v>1.3337741687065039E-10</v>
      </c>
      <c r="G335" s="51">
        <v>6.409227474530373E-9</v>
      </c>
    </row>
    <row r="336" spans="1:7">
      <c r="B336" s="4"/>
      <c r="C336" s="4"/>
      <c r="D336" s="4"/>
      <c r="E336" s="4"/>
      <c r="F336" s="4"/>
      <c r="G336" s="4"/>
    </row>
    <row r="337" spans="1:7">
      <c r="A337" s="13" t="s">
        <v>244</v>
      </c>
    </row>
    <row r="338" spans="1:7">
      <c r="A338" s="14" t="s">
        <v>245</v>
      </c>
      <c r="B338" s="54">
        <f t="array" ref="B338:B343">MMULT(B330:G335,B271:B276)</f>
        <v>-7.237332335580318E-8</v>
      </c>
      <c r="C338" s="13" t="s">
        <v>251</v>
      </c>
      <c r="D338" s="52">
        <f>B338*100000/2.54</f>
        <v>-2.8493434392048494E-3</v>
      </c>
      <c r="E338" s="13" t="s">
        <v>257</v>
      </c>
      <c r="F338" s="50">
        <f>D338/1000</f>
        <v>-2.8493434392048495E-6</v>
      </c>
      <c r="G338" s="13" t="s">
        <v>258</v>
      </c>
    </row>
    <row r="339" spans="1:7">
      <c r="A339" s="14" t="s">
        <v>260</v>
      </c>
      <c r="B339" s="54">
        <v>1.1840664743708718E-7</v>
      </c>
      <c r="C339" s="13" t="s">
        <v>251</v>
      </c>
      <c r="D339" s="52">
        <f t="shared" ref="D339:D340" si="9">B339*100000/2.54</f>
        <v>4.6616790329561883E-3</v>
      </c>
      <c r="E339" s="13" t="s">
        <v>257</v>
      </c>
      <c r="F339" s="50">
        <f>D339/1000</f>
        <v>4.6616790329561883E-6</v>
      </c>
      <c r="G339" s="13" t="s">
        <v>258</v>
      </c>
    </row>
    <row r="340" spans="1:7">
      <c r="A340" s="14" t="s">
        <v>246</v>
      </c>
      <c r="B340" s="54">
        <v>-2.7957684853842498E-7</v>
      </c>
      <c r="C340" s="13" t="s">
        <v>251</v>
      </c>
      <c r="D340" s="52">
        <f t="shared" si="9"/>
        <v>-1.1006962540882872E-2</v>
      </c>
      <c r="E340" s="13" t="s">
        <v>257</v>
      </c>
      <c r="F340" s="50">
        <f>D340/1000</f>
        <v>-1.1006962540882872E-5</v>
      </c>
      <c r="G340" s="13" t="s">
        <v>258</v>
      </c>
    </row>
    <row r="341" spans="1:7" ht="15.75">
      <c r="A341" s="14" t="s">
        <v>247</v>
      </c>
      <c r="B341" s="53">
        <v>5.5527587506524693E-8</v>
      </c>
      <c r="C341" s="13" t="s">
        <v>250</v>
      </c>
      <c r="D341" s="53">
        <f>DEGREES(B341)</f>
        <v>3.1814964106672234E-6</v>
      </c>
      <c r="E341" s="13" t="s">
        <v>252</v>
      </c>
      <c r="F341" s="14" t="s">
        <v>253</v>
      </c>
      <c r="G341">
        <f>SIN(B341)</f>
        <v>5.5527587506524667E-8</v>
      </c>
    </row>
    <row r="342" spans="1:7" ht="15.75">
      <c r="A342" s="14" t="s">
        <v>248</v>
      </c>
      <c r="B342" s="53">
        <v>-3.5735566013257717E-8</v>
      </c>
      <c r="C342" s="13" t="s">
        <v>250</v>
      </c>
      <c r="D342" s="53">
        <f t="shared" ref="D342:D343" si="10">DEGREES(B342)</f>
        <v>-2.0474971110708125E-6</v>
      </c>
      <c r="E342" s="13" t="s">
        <v>252</v>
      </c>
      <c r="F342" s="14" t="s">
        <v>253</v>
      </c>
      <c r="G342">
        <f t="shared" ref="G342:G343" si="11">SIN(B342)</f>
        <v>-3.5735566013257711E-8</v>
      </c>
    </row>
    <row r="343" spans="1:7" ht="15.75">
      <c r="A343" s="14" t="s">
        <v>249</v>
      </c>
      <c r="B343" s="53">
        <v>-1.3815815361905244E-8</v>
      </c>
      <c r="C343" s="13" t="s">
        <v>250</v>
      </c>
      <c r="D343" s="53">
        <f t="shared" si="10"/>
        <v>-7.9158791076917849E-7</v>
      </c>
      <c r="E343" s="13" t="s">
        <v>252</v>
      </c>
      <c r="F343" s="14" t="s">
        <v>253</v>
      </c>
      <c r="G343">
        <f t="shared" si="11"/>
        <v>-1.3815815361905244E-8</v>
      </c>
    </row>
    <row r="344" spans="1:7">
      <c r="A344" s="20"/>
    </row>
    <row r="345" spans="1:7">
      <c r="A345" s="14"/>
      <c r="B345" s="48"/>
      <c r="C345" s="13"/>
      <c r="D345" s="49"/>
      <c r="E345" s="13"/>
      <c r="F345" s="50"/>
      <c r="G345" s="13"/>
    </row>
    <row r="346" spans="1:7">
      <c r="A346" s="14"/>
      <c r="B346" s="48"/>
      <c r="C346" s="13"/>
      <c r="D346" s="49">
        <f>'Análisis ok'!D340-'Análisis ok 1.5G'!D340</f>
        <v>-3.1799598860077632E-3</v>
      </c>
      <c r="E346" s="13"/>
      <c r="F346" s="50"/>
      <c r="G346" s="13"/>
    </row>
    <row r="347" spans="1:7">
      <c r="A347" s="14"/>
      <c r="B347" s="48"/>
      <c r="C347" s="13"/>
      <c r="D347" s="49"/>
      <c r="E347" s="13"/>
      <c r="F347" s="50"/>
      <c r="G347" s="13"/>
    </row>
    <row r="348" spans="1:7">
      <c r="A348" s="14"/>
      <c r="B348" s="48"/>
      <c r="C348" s="13"/>
      <c r="E348" s="13"/>
      <c r="F348" s="14"/>
    </row>
    <row r="349" spans="1:7">
      <c r="A349" s="14"/>
      <c r="B349" s="48"/>
      <c r="C349" s="13"/>
      <c r="E349" s="13"/>
      <c r="F349" s="14"/>
    </row>
    <row r="350" spans="1:7">
      <c r="A350" s="14"/>
      <c r="B350" s="48"/>
      <c r="C350" s="13"/>
      <c r="E350" s="13"/>
      <c r="F350" s="14"/>
    </row>
  </sheetData>
  <mergeCells count="6">
    <mergeCell ref="A325:A326"/>
    <mergeCell ref="A2:G3"/>
    <mergeCell ref="A273:A274"/>
    <mergeCell ref="A302:A303"/>
    <mergeCell ref="A311:A312"/>
    <mergeCell ref="A318:A319"/>
  </mergeCells>
  <pageMargins left="0.98425196850393704" right="0.74803149606299213" top="0.98425196850393704" bottom="0.78740157480314965" header="0.39370078740157483" footer="0.39370078740157483"/>
  <pageSetup scale="98" orientation="portrait" horizontalDpi="4294967293" r:id="rId1"/>
  <headerFooter alignWithMargins="0">
    <oddHeader>&amp;CTesis de Maestría</oddHeader>
    <oddFooter>&amp;CIng Ulises Talonia Vargas</oddFooter>
  </headerFooter>
  <rowBreaks count="5" manualBreakCount="5">
    <brk id="48" max="16383" man="1"/>
    <brk id="93" max="6" man="1"/>
    <brk id="142" max="6" man="1"/>
    <brk id="190" max="6" man="1"/>
    <brk id="237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2:H350"/>
  <sheetViews>
    <sheetView topLeftCell="A25" zoomScaleSheetLayoutView="100" workbookViewId="0">
      <selection activeCell="F46" sqref="F46"/>
    </sheetView>
  </sheetViews>
  <sheetFormatPr baseColWidth="10" defaultRowHeight="12.75"/>
  <cols>
    <col min="1" max="1" width="8.7109375" customWidth="1"/>
    <col min="2" max="2" width="12.7109375" customWidth="1"/>
    <col min="3" max="3" width="13.7109375" customWidth="1"/>
    <col min="4" max="4" width="12.7109375" customWidth="1"/>
    <col min="5" max="5" width="12.7109375" bestFit="1" customWidth="1"/>
    <col min="6" max="6" width="14.42578125" customWidth="1"/>
    <col min="7" max="7" width="12.42578125" customWidth="1"/>
    <col min="9" max="9" width="13" bestFit="1" customWidth="1"/>
  </cols>
  <sheetData>
    <row r="2" spans="1:7" ht="18" customHeight="1">
      <c r="A2" s="57" t="s">
        <v>0</v>
      </c>
      <c r="B2" s="58"/>
      <c r="C2" s="58"/>
      <c r="D2" s="58"/>
      <c r="E2" s="58"/>
      <c r="F2" s="58"/>
      <c r="G2" s="58"/>
    </row>
    <row r="3" spans="1:7" ht="18" customHeight="1">
      <c r="A3" s="58"/>
      <c r="B3" s="58"/>
      <c r="C3" s="58"/>
      <c r="D3" s="58"/>
      <c r="E3" s="58"/>
      <c r="F3" s="58"/>
      <c r="G3" s="58"/>
    </row>
    <row r="5" spans="1:7">
      <c r="A5" t="s">
        <v>1</v>
      </c>
    </row>
    <row r="33" spans="1:8" ht="13.5" thickBot="1">
      <c r="A33" s="21"/>
      <c r="B33" s="39" t="s">
        <v>106</v>
      </c>
      <c r="C33" s="21"/>
      <c r="D33" s="21"/>
      <c r="E33" s="21"/>
      <c r="F33" s="21"/>
      <c r="G33" s="21"/>
    </row>
    <row r="35" spans="1:8">
      <c r="A35" s="2" t="s">
        <v>2</v>
      </c>
      <c r="B35" s="40">
        <v>5.52</v>
      </c>
      <c r="C35" s="2" t="s">
        <v>3</v>
      </c>
      <c r="D35" s="40">
        <v>11.39</v>
      </c>
      <c r="E35" s="2" t="s">
        <v>17</v>
      </c>
      <c r="F35" s="40">
        <v>1.6</v>
      </c>
    </row>
    <row r="36" spans="1:8">
      <c r="A36" s="2" t="s">
        <v>33</v>
      </c>
      <c r="B36" s="40">
        <v>1.6</v>
      </c>
      <c r="C36" s="2" t="s">
        <v>20</v>
      </c>
      <c r="D36" s="36">
        <f>B35/2</f>
        <v>2.76</v>
      </c>
      <c r="E36" s="2" t="s">
        <v>21</v>
      </c>
      <c r="F36" s="36">
        <f>D35/2</f>
        <v>5.6950000000000003</v>
      </c>
    </row>
    <row r="37" spans="1:8">
      <c r="A37" s="2" t="s">
        <v>35</v>
      </c>
      <c r="B37" s="6">
        <f>B35/D35</f>
        <v>0.48463564530289721</v>
      </c>
      <c r="C37" s="2" t="s">
        <v>36</v>
      </c>
      <c r="D37" s="6">
        <f>F35/D36</f>
        <v>0.57971014492753636</v>
      </c>
      <c r="E37" s="16" t="s">
        <v>51</v>
      </c>
      <c r="F37" s="6">
        <f>B36/D36</f>
        <v>0.57971014492753636</v>
      </c>
    </row>
    <row r="38" spans="1:8">
      <c r="A38" s="2" t="s">
        <v>37</v>
      </c>
      <c r="B38" s="6">
        <f>F36/D36</f>
        <v>2.0634057971014497</v>
      </c>
      <c r="C38" s="16" t="s">
        <v>52</v>
      </c>
      <c r="D38" s="6">
        <f>B36/F36</f>
        <v>0.28094820017559263</v>
      </c>
      <c r="E38" s="14" t="s">
        <v>53</v>
      </c>
      <c r="F38" s="6">
        <f>F35/B36</f>
        <v>1</v>
      </c>
    </row>
    <row r="39" spans="1:8" ht="15.75">
      <c r="A39" s="2" t="s">
        <v>19</v>
      </c>
      <c r="B39" s="41">
        <f>B35*D35</f>
        <v>62.872799999999998</v>
      </c>
      <c r="C39" s="2" t="s">
        <v>18</v>
      </c>
      <c r="D39" s="41">
        <f>2*(D35+B35)*B36</f>
        <v>54.112000000000002</v>
      </c>
      <c r="E39" s="2" t="s">
        <v>27</v>
      </c>
      <c r="F39" s="6">
        <f>B39/(D35*D35)</f>
        <v>0.48463564530289727</v>
      </c>
    </row>
    <row r="40" spans="1:8" ht="15.75">
      <c r="A40" s="14" t="s">
        <v>45</v>
      </c>
      <c r="B40" s="6">
        <f>D35*POWER(B35,3)/12</f>
        <v>159.64661375999998</v>
      </c>
      <c r="C40" s="13" t="s">
        <v>47</v>
      </c>
      <c r="D40" s="14" t="s">
        <v>46</v>
      </c>
      <c r="E40" s="6">
        <f>B35*POWER(D35,3)/12</f>
        <v>679.71836473999997</v>
      </c>
      <c r="F40" s="13" t="s">
        <v>47</v>
      </c>
    </row>
    <row r="41" spans="1:8" ht="15.75">
      <c r="A41" s="14" t="s">
        <v>98</v>
      </c>
      <c r="B41" s="6">
        <f>B40+E40</f>
        <v>839.36497850000001</v>
      </c>
      <c r="C41" s="13" t="s">
        <v>47</v>
      </c>
      <c r="D41" s="13" t="s">
        <v>227</v>
      </c>
      <c r="E41" s="36">
        <v>1.9</v>
      </c>
    </row>
    <row r="42" spans="1:8" ht="15.75">
      <c r="A42" s="16" t="s">
        <v>99</v>
      </c>
      <c r="B42" s="40">
        <v>14.5</v>
      </c>
      <c r="C42" s="5" t="s">
        <v>7</v>
      </c>
      <c r="D42" s="3">
        <v>0.25</v>
      </c>
      <c r="E42" s="2" t="s">
        <v>8</v>
      </c>
      <c r="F42" s="3">
        <v>1195.115</v>
      </c>
      <c r="G42" t="s">
        <v>9</v>
      </c>
    </row>
    <row r="43" spans="1:8" ht="14.25">
      <c r="A43" s="5" t="s">
        <v>12</v>
      </c>
      <c r="B43" s="3">
        <v>1.94</v>
      </c>
      <c r="C43" t="s">
        <v>13</v>
      </c>
      <c r="D43" s="5" t="s">
        <v>10</v>
      </c>
      <c r="E43" s="7">
        <f>B43/9.81</f>
        <v>0.19775739041794085</v>
      </c>
      <c r="F43" t="s">
        <v>14</v>
      </c>
    </row>
    <row r="44" spans="1:8">
      <c r="A44" s="5" t="s">
        <v>107</v>
      </c>
      <c r="B44" s="24">
        <v>0.03</v>
      </c>
      <c r="C44" s="13"/>
      <c r="D44" s="2" t="s">
        <v>6</v>
      </c>
      <c r="E44" s="1">
        <f>E43*F42*F42</f>
        <v>282456.85368567787</v>
      </c>
      <c r="F44" t="s">
        <v>11</v>
      </c>
      <c r="H44">
        <f>'Análisis ok'!E44*3</f>
        <v>282456.88073394488</v>
      </c>
    </row>
    <row r="45" spans="1:8">
      <c r="A45" t="s">
        <v>23</v>
      </c>
      <c r="D45" s="3">
        <v>14.83</v>
      </c>
      <c r="E45" t="s">
        <v>24</v>
      </c>
    </row>
    <row r="46" spans="1:8" ht="15.75">
      <c r="A46" s="2" t="s">
        <v>97</v>
      </c>
      <c r="B46" s="4">
        <f>F42/(4*B42)</f>
        <v>20.605431034482759</v>
      </c>
      <c r="C46" s="13" t="s">
        <v>24</v>
      </c>
      <c r="E46" s="13"/>
      <c r="F46" s="2" t="s">
        <v>272</v>
      </c>
      <c r="G46" s="7">
        <f>B47*D36/F42</f>
        <v>0.21518916687607986</v>
      </c>
      <c r="H46">
        <f>SQRT(H44/E43)</f>
        <v>1195.1150572225251</v>
      </c>
    </row>
    <row r="47" spans="1:8">
      <c r="A47" s="5" t="s">
        <v>22</v>
      </c>
      <c r="B47" s="6">
        <f>2*PI()*D45</f>
        <v>93.179638105473259</v>
      </c>
      <c r="C47" s="13" t="s">
        <v>254</v>
      </c>
    </row>
    <row r="48" spans="1:8" ht="13.5" thickBot="1">
      <c r="A48" s="21"/>
      <c r="B48" s="21"/>
      <c r="C48" s="21"/>
      <c r="D48" s="21"/>
      <c r="E48" s="22"/>
      <c r="F48" s="23"/>
      <c r="G48" s="21"/>
    </row>
    <row r="49" spans="1:7" ht="15">
      <c r="A49" s="12" t="s">
        <v>42</v>
      </c>
      <c r="B49" s="6"/>
      <c r="D49" s="2"/>
      <c r="E49" s="1"/>
    </row>
    <row r="50" spans="1:7">
      <c r="A50" s="10" t="s">
        <v>4</v>
      </c>
      <c r="B50" s="6"/>
      <c r="D50" s="2"/>
      <c r="E50" s="1"/>
    </row>
    <row r="51" spans="1:7" ht="15.75">
      <c r="A51" s="2" t="s">
        <v>5</v>
      </c>
      <c r="B51" s="6">
        <f>IF(F39&lt;0.02,0.8,0.73+1.54*POWER(F39,0.75))</f>
        <v>1.6245038951814859</v>
      </c>
    </row>
    <row r="52" spans="1:7" ht="14.25">
      <c r="A52" s="8" t="s">
        <v>40</v>
      </c>
      <c r="B52" s="9">
        <f>D35*E44*B51/(1-D42)</f>
        <v>6968436.3071825383</v>
      </c>
      <c r="C52" s="10" t="s">
        <v>15</v>
      </c>
      <c r="D52" t="s">
        <v>16</v>
      </c>
    </row>
    <row r="53" spans="1:7" ht="14.25">
      <c r="A53" s="8" t="s">
        <v>25</v>
      </c>
      <c r="B53" s="9">
        <f>B52*(1+(F35/(21*D36))*(1+4*B39/(12*F36*F36))*(1+0.19*POWER((D39/B39),2/3)))</f>
        <v>7339543.7593569187</v>
      </c>
      <c r="C53" s="10" t="s">
        <v>15</v>
      </c>
      <c r="D53" t="s">
        <v>34</v>
      </c>
    </row>
    <row r="54" spans="1:7" ht="14.25">
      <c r="A54" s="8" t="s">
        <v>141</v>
      </c>
      <c r="B54" s="31">
        <f>B52*(1+(F35/(21*D36))*(1+4*B39/(12*F36*F36)))</f>
        <v>7285104.5328782527</v>
      </c>
      <c r="C54" s="13" t="s">
        <v>15</v>
      </c>
      <c r="D54" s="10"/>
    </row>
    <row r="55" spans="1:7" ht="14.25">
      <c r="A55" s="8" t="s">
        <v>133</v>
      </c>
      <c r="B55" s="31">
        <f>B53-B54</f>
        <v>54439.226478666067</v>
      </c>
      <c r="C55" s="13" t="s">
        <v>15</v>
      </c>
    </row>
    <row r="56" spans="1:7" ht="14.25">
      <c r="A56" s="8" t="s">
        <v>134</v>
      </c>
      <c r="B56" s="1">
        <f>B55/D39</f>
        <v>1006.0472072491511</v>
      </c>
      <c r="C56" s="13" t="s">
        <v>135</v>
      </c>
    </row>
    <row r="57" spans="1:7" ht="14.25">
      <c r="A57" s="11" t="s">
        <v>41</v>
      </c>
      <c r="B57" s="10"/>
      <c r="C57" s="10"/>
      <c r="E57" s="8" t="s">
        <v>40</v>
      </c>
      <c r="F57" s="9">
        <f>B58*B52</f>
        <v>6968436.3071825383</v>
      </c>
      <c r="G57" s="10" t="s">
        <v>15</v>
      </c>
    </row>
    <row r="58" spans="1:7" ht="14.25">
      <c r="A58" s="8" t="s">
        <v>40</v>
      </c>
      <c r="B58" s="3">
        <v>1</v>
      </c>
      <c r="E58" s="8" t="s">
        <v>25</v>
      </c>
      <c r="F58" s="9">
        <f>B52*(1-0.09*POWER((F35/D36),0.75)*POWER(G46,2))</f>
        <v>6949142.1048715953</v>
      </c>
      <c r="G58" s="10" t="s">
        <v>15</v>
      </c>
    </row>
    <row r="59" spans="1:7">
      <c r="E59" s="8"/>
      <c r="F59" s="9"/>
      <c r="G59" s="10"/>
    </row>
    <row r="60" spans="1:7" ht="15">
      <c r="B60" s="26" t="s">
        <v>108</v>
      </c>
      <c r="C60" s="27">
        <f>F58-B47*B113*B44</f>
        <v>6949142.1048715953</v>
      </c>
      <c r="D60" s="25" t="s">
        <v>15</v>
      </c>
      <c r="E60" s="8"/>
      <c r="F60" s="9"/>
      <c r="G60" s="10"/>
    </row>
    <row r="61" spans="1:7" s="15" customFormat="1" ht="13.5" thickBot="1"/>
    <row r="62" spans="1:7">
      <c r="B62" s="10" t="s">
        <v>28</v>
      </c>
    </row>
    <row r="63" spans="1:7" ht="15.75">
      <c r="B63" s="2" t="s">
        <v>26</v>
      </c>
      <c r="C63" s="6">
        <f>IF(F39&lt;0.16,2.24,4.5*POWER(F39,0.38))</f>
        <v>3.4171996102899405</v>
      </c>
      <c r="E63" s="8" t="s">
        <v>29</v>
      </c>
      <c r="F63" s="9">
        <f>D35*E44*C63/(2-D42)</f>
        <v>6282147.6682026386</v>
      </c>
      <c r="G63" s="10" t="s">
        <v>15</v>
      </c>
    </row>
    <row r="64" spans="1:7" ht="14.25">
      <c r="B64" s="8" t="s">
        <v>143</v>
      </c>
      <c r="C64" s="31">
        <f>F65-F64</f>
        <v>2721902.6541481214</v>
      </c>
      <c r="D64" s="10" t="s">
        <v>15</v>
      </c>
      <c r="E64" s="8" t="s">
        <v>142</v>
      </c>
      <c r="F64" s="31">
        <f>F63*(1+0.15*SQRT(D37))</f>
        <v>6999619.4915406452</v>
      </c>
      <c r="G64" s="10" t="s">
        <v>15</v>
      </c>
    </row>
    <row r="65" spans="1:7" ht="14.25">
      <c r="B65" s="8"/>
      <c r="C65" s="31"/>
      <c r="D65" s="10"/>
      <c r="E65" s="8" t="s">
        <v>32</v>
      </c>
      <c r="F65" s="28">
        <f>F63*(1+0.15*SQRT(D37))*(1+0.52*POWER((F35-0.5*B36)*D39/(D36*POWER(F36,2)),0.4))</f>
        <v>9721522.1456887666</v>
      </c>
      <c r="G65" s="10" t="s">
        <v>15</v>
      </c>
    </row>
    <row r="66" spans="1:7">
      <c r="B66" s="10" t="s">
        <v>30</v>
      </c>
    </row>
    <row r="67" spans="1:7" ht="14.25">
      <c r="E67" s="8" t="s">
        <v>31</v>
      </c>
      <c r="F67" s="9">
        <f>F63-(0.21*F36*E44*(1-B37)/(0.75-D42))</f>
        <v>5933963.1046643034</v>
      </c>
      <c r="G67" s="10" t="s">
        <v>15</v>
      </c>
    </row>
    <row r="68" spans="1:7" ht="14.25">
      <c r="B68" s="8" t="s">
        <v>144</v>
      </c>
      <c r="C68" s="31">
        <f>F69-F68</f>
        <v>2571042.7034300957</v>
      </c>
      <c r="D68" s="10" t="s">
        <v>15</v>
      </c>
      <c r="E68" s="8" t="s">
        <v>145</v>
      </c>
      <c r="F68" s="31">
        <f>F67*(1+0.15*SQRT(D37))</f>
        <v>6611669.4486067146</v>
      </c>
      <c r="G68" s="10" t="s">
        <v>15</v>
      </c>
    </row>
    <row r="69" spans="1:7" ht="14.25">
      <c r="B69" s="8"/>
      <c r="C69" s="31"/>
      <c r="D69" s="10"/>
      <c r="E69" s="8" t="s">
        <v>38</v>
      </c>
      <c r="F69" s="28">
        <f>F67*(1+0.15*SQRT(D37))*(1+0.52*POWER((F35-0.5*B36)*D39/(D36*POWER(F36,2)),0.4))</f>
        <v>9182712.1520368103</v>
      </c>
      <c r="G69" s="10" t="s">
        <v>15</v>
      </c>
    </row>
    <row r="71" spans="1:7">
      <c r="A71" s="13" t="s">
        <v>208</v>
      </c>
    </row>
    <row r="72" spans="1:7">
      <c r="A72" s="13" t="s">
        <v>209</v>
      </c>
    </row>
    <row r="73" spans="1:7" ht="14.25">
      <c r="B73" s="8" t="s">
        <v>31</v>
      </c>
      <c r="C73" s="3">
        <v>1</v>
      </c>
      <c r="D73" s="8" t="s">
        <v>38</v>
      </c>
      <c r="E73" s="3">
        <v>1</v>
      </c>
    </row>
    <row r="74" spans="1:7" ht="14.25">
      <c r="B74" s="8" t="s">
        <v>29</v>
      </c>
      <c r="C74" s="3">
        <v>1.02</v>
      </c>
      <c r="D74" s="8" t="s">
        <v>32</v>
      </c>
      <c r="E74" s="3">
        <v>1</v>
      </c>
    </row>
    <row r="75" spans="1:7">
      <c r="B75" s="10" t="s">
        <v>39</v>
      </c>
    </row>
    <row r="76" spans="1:7">
      <c r="G76" s="9"/>
    </row>
    <row r="77" spans="1:7" ht="14.25">
      <c r="B77" s="8" t="s">
        <v>31</v>
      </c>
      <c r="C77" s="9">
        <f>F67*C73</f>
        <v>5933963.1046643034</v>
      </c>
      <c r="D77" s="10" t="s">
        <v>15</v>
      </c>
      <c r="E77" s="8" t="s">
        <v>38</v>
      </c>
      <c r="F77" s="9">
        <f>F69*E73</f>
        <v>9182712.1520368103</v>
      </c>
      <c r="G77" s="10" t="s">
        <v>15</v>
      </c>
    </row>
    <row r="78" spans="1:7" ht="14.25">
      <c r="B78" s="8" t="s">
        <v>29</v>
      </c>
      <c r="C78" s="9">
        <f>F63*C74</f>
        <v>6407790.6215666914</v>
      </c>
      <c r="D78" s="10" t="s">
        <v>15</v>
      </c>
      <c r="E78" s="8" t="s">
        <v>32</v>
      </c>
      <c r="F78" s="9">
        <f>F65*E74</f>
        <v>9721522.1456887666</v>
      </c>
      <c r="G78" s="10" t="s">
        <v>15</v>
      </c>
    </row>
    <row r="79" spans="1:7">
      <c r="B79" s="8"/>
      <c r="C79" s="9"/>
      <c r="D79" s="10"/>
      <c r="E79" s="8"/>
      <c r="F79" s="9"/>
      <c r="G79" s="10"/>
    </row>
    <row r="80" spans="1:7" ht="15">
      <c r="B80" s="8"/>
      <c r="C80" s="26" t="s">
        <v>110</v>
      </c>
      <c r="D80" s="27">
        <f>F77-B47*B121*B44</f>
        <v>9182712.1520368103</v>
      </c>
      <c r="E80" s="25" t="s">
        <v>15</v>
      </c>
      <c r="F80" s="9"/>
      <c r="G80" s="10"/>
    </row>
    <row r="81" spans="1:7" ht="15">
      <c r="B81" s="8"/>
      <c r="C81" s="26" t="s">
        <v>109</v>
      </c>
      <c r="D81" s="27">
        <f>F78-B47*B122*B44</f>
        <v>9721522.1456887666</v>
      </c>
      <c r="E81" s="25" t="s">
        <v>15</v>
      </c>
      <c r="F81" s="9"/>
      <c r="G81" s="10"/>
    </row>
    <row r="82" spans="1:7" ht="13.5" thickBot="1">
      <c r="A82" s="15"/>
      <c r="B82" s="15"/>
      <c r="C82" s="15"/>
      <c r="D82" s="15"/>
      <c r="E82" s="15"/>
      <c r="F82" s="15"/>
      <c r="G82" s="15"/>
    </row>
    <row r="83" spans="1:7">
      <c r="B83" s="10" t="s">
        <v>43</v>
      </c>
    </row>
    <row r="85" spans="1:7" ht="14.25">
      <c r="B85" s="8" t="s">
        <v>44</v>
      </c>
      <c r="C85" s="9">
        <f>(E44/(1-D42))*POWER(B40,0.75)*POWER(B38,0.25)*(2.4+0.5*B37)</f>
        <v>53566325.11575152</v>
      </c>
      <c r="D85" s="10" t="s">
        <v>15</v>
      </c>
      <c r="E85" s="8" t="s">
        <v>49</v>
      </c>
      <c r="F85" s="9">
        <f>C85*(1+1.26*F37*(1+F37*POWER(F38,0.2)*POWER(B37,0.5)))</f>
        <v>108483386.50443007</v>
      </c>
      <c r="G85" s="10" t="s">
        <v>15</v>
      </c>
    </row>
    <row r="86" spans="1:7" ht="14.25">
      <c r="B86" s="8" t="s">
        <v>48</v>
      </c>
      <c r="C86" s="9">
        <f>(3*E44/(1-D42))*POWER(E40,0.75)*POWER(B38,0.15)</f>
        <v>167666600.27842477</v>
      </c>
      <c r="D86" s="10" t="s">
        <v>15</v>
      </c>
      <c r="E86" s="8" t="s">
        <v>50</v>
      </c>
      <c r="F86" s="9">
        <f>C86*(1+0.92*POWER(D38,0.6)*(1.5+POWER(D38,1.9)*POWER(F38,0.6)))</f>
        <v>282139479.85708004</v>
      </c>
      <c r="G86" s="10" t="s">
        <v>15</v>
      </c>
    </row>
    <row r="87" spans="1:7">
      <c r="B87" s="13" t="s">
        <v>54</v>
      </c>
    </row>
    <row r="88" spans="1:7" ht="14.25">
      <c r="B88" s="8" t="s">
        <v>44</v>
      </c>
      <c r="C88" s="6">
        <f>1-0.2*G46</f>
        <v>0.95696216662478406</v>
      </c>
      <c r="E88" s="8" t="s">
        <v>111</v>
      </c>
      <c r="F88" s="28">
        <f>F85*C88</f>
        <v>103814496.59207326</v>
      </c>
      <c r="G88" s="10" t="s">
        <v>15</v>
      </c>
    </row>
    <row r="89" spans="1:7" ht="14.25">
      <c r="B89" s="8" t="s">
        <v>48</v>
      </c>
      <c r="C89" s="6">
        <f>1-0.3*G46</f>
        <v>0.93544324993717609</v>
      </c>
      <c r="E89" s="8" t="s">
        <v>50</v>
      </c>
      <c r="F89" s="28">
        <f>F86*C89</f>
        <v>263925471.97309139</v>
      </c>
      <c r="G89" s="10" t="s">
        <v>15</v>
      </c>
    </row>
    <row r="90" spans="1:7">
      <c r="B90" s="8"/>
      <c r="F90" s="28"/>
      <c r="G90" s="10"/>
    </row>
    <row r="91" spans="1:7" ht="15">
      <c r="B91" s="8"/>
      <c r="C91" s="26" t="s">
        <v>112</v>
      </c>
      <c r="D91" s="27">
        <f>F88-B47*B129*B44</f>
        <v>103814496.59207326</v>
      </c>
      <c r="E91" s="25" t="s">
        <v>15</v>
      </c>
      <c r="F91" s="28"/>
      <c r="G91" s="10"/>
    </row>
    <row r="92" spans="1:7" ht="15">
      <c r="B92" s="8"/>
      <c r="C92" s="26" t="s">
        <v>113</v>
      </c>
      <c r="D92" s="27">
        <f>F89-B47*B130*B44</f>
        <v>263925471.97309139</v>
      </c>
      <c r="E92" s="25" t="s">
        <v>15</v>
      </c>
      <c r="F92" s="28"/>
      <c r="G92" s="10"/>
    </row>
    <row r="93" spans="1:7" ht="13.5" thickBot="1">
      <c r="A93" s="15"/>
      <c r="B93" s="15"/>
      <c r="C93" s="15"/>
      <c r="D93" s="15"/>
      <c r="E93" s="15"/>
      <c r="F93" s="15"/>
      <c r="G93" s="15"/>
    </row>
    <row r="94" spans="1:7">
      <c r="B94" s="17" t="s">
        <v>55</v>
      </c>
    </row>
    <row r="96" spans="1:7" ht="14.25">
      <c r="A96" s="8" t="s">
        <v>56</v>
      </c>
      <c r="B96" s="9">
        <f>E44*POWER(B41,0.75)*(3.8+10.7*POWER((1-B37),10))</f>
        <v>168001117.48131496</v>
      </c>
      <c r="C96" s="10" t="s">
        <v>15</v>
      </c>
      <c r="E96" s="8" t="s">
        <v>57</v>
      </c>
      <c r="F96" s="9">
        <f>B96*(1+(1.3+1.32*B37)*POWER(D37,0.9))</f>
        <v>367500158.53077817</v>
      </c>
      <c r="G96" s="10" t="s">
        <v>15</v>
      </c>
    </row>
    <row r="98" spans="1:7">
      <c r="A98" s="13" t="s">
        <v>58</v>
      </c>
    </row>
    <row r="99" spans="1:7">
      <c r="A99" s="14" t="s">
        <v>59</v>
      </c>
      <c r="B99" s="6">
        <f>0.33-0.13*SQRT(B38-1)</f>
        <v>0.19594196043871709</v>
      </c>
    </row>
    <row r="100" spans="1:7" ht="14.25">
      <c r="A100" s="14" t="s">
        <v>60</v>
      </c>
      <c r="B100" s="6">
        <f>0.8/(1+0.33*(B38-1))</f>
        <v>0.59218731142132996</v>
      </c>
      <c r="C100" s="8" t="s">
        <v>61</v>
      </c>
      <c r="D100" s="6">
        <f>1-B99*POWER(G46,2)/(B100+POWER(G46,2))</f>
        <v>0.98578942509061862</v>
      </c>
      <c r="E100" s="14"/>
      <c r="F100" s="6"/>
    </row>
    <row r="101" spans="1:7">
      <c r="E101" s="14"/>
      <c r="F101" s="6"/>
    </row>
    <row r="102" spans="1:7" ht="14.25">
      <c r="B102" s="13" t="s">
        <v>62</v>
      </c>
      <c r="E102" s="8" t="s">
        <v>57</v>
      </c>
      <c r="F102" s="28">
        <f>D100*F96</f>
        <v>362277769.99876702</v>
      </c>
      <c r="G102" s="10" t="s">
        <v>15</v>
      </c>
    </row>
    <row r="103" spans="1:7">
      <c r="B103" s="13"/>
      <c r="E103" s="8"/>
      <c r="F103" s="28"/>
      <c r="G103" s="10"/>
    </row>
    <row r="104" spans="1:7" ht="15">
      <c r="D104" s="26" t="s">
        <v>114</v>
      </c>
      <c r="E104" s="27">
        <f>F102-B47*B138*B44</f>
        <v>362277769.99876702</v>
      </c>
      <c r="F104" s="25" t="s">
        <v>15</v>
      </c>
      <c r="G104" s="10"/>
    </row>
    <row r="105" spans="1:7" ht="13.5" thickBot="1">
      <c r="A105" s="15"/>
      <c r="B105" s="15"/>
      <c r="C105" s="15"/>
      <c r="D105" s="15"/>
      <c r="E105" s="15"/>
      <c r="F105" s="15"/>
      <c r="G105" s="15"/>
    </row>
    <row r="107" spans="1:7" ht="15.75" customHeight="1">
      <c r="A107" s="12" t="s">
        <v>63</v>
      </c>
    </row>
    <row r="108" spans="1:7">
      <c r="A108" s="10" t="s">
        <v>69</v>
      </c>
    </row>
    <row r="109" spans="1:7" ht="14.25">
      <c r="B109" s="8" t="s">
        <v>65</v>
      </c>
      <c r="C109" s="6">
        <f>3.4*F42/(PI()*(1-D42))</f>
        <v>1724.5567023069859</v>
      </c>
      <c r="D109" s="13" t="s">
        <v>9</v>
      </c>
    </row>
    <row r="110" spans="1:7">
      <c r="A110" s="13" t="s">
        <v>66</v>
      </c>
      <c r="D110" s="18">
        <v>1</v>
      </c>
      <c r="F110" s="13"/>
    </row>
    <row r="111" spans="1:7" ht="14.25">
      <c r="B111" s="8" t="s">
        <v>64</v>
      </c>
      <c r="C111" s="9">
        <f>E43*C109*B39*D110</f>
        <v>21442.38070822068</v>
      </c>
      <c r="D111" t="s">
        <v>68</v>
      </c>
    </row>
    <row r="112" spans="1:7">
      <c r="A112" s="13" t="s">
        <v>77</v>
      </c>
    </row>
    <row r="113" spans="1:7" ht="15">
      <c r="A113" s="8" t="s">
        <v>67</v>
      </c>
      <c r="B113" s="9">
        <f>(F146*C111+E43*F42*D39*F145)*F147</f>
        <v>0</v>
      </c>
      <c r="C113" t="s">
        <v>68</v>
      </c>
      <c r="E113" s="26" t="s">
        <v>115</v>
      </c>
      <c r="F113" s="27">
        <f>B113+2*F58*B44/B47</f>
        <v>4474.6742396695854</v>
      </c>
      <c r="G113" s="25" t="s">
        <v>68</v>
      </c>
    </row>
    <row r="114" spans="1:7" ht="13.5" thickBot="1">
      <c r="A114" s="15"/>
      <c r="B114" s="15"/>
      <c r="C114" s="15"/>
      <c r="D114" s="15"/>
      <c r="E114" s="15"/>
      <c r="F114" s="15"/>
      <c r="G114" s="15"/>
    </row>
    <row r="115" spans="1:7">
      <c r="A115" s="10" t="s">
        <v>70</v>
      </c>
    </row>
    <row r="117" spans="1:7" ht="14.25">
      <c r="A117" s="8" t="s">
        <v>71</v>
      </c>
      <c r="B117" s="9">
        <f>E43*F42*B39*G117</f>
        <v>12927.795521983851</v>
      </c>
      <c r="C117" t="s">
        <v>68</v>
      </c>
      <c r="D117" s="13" t="s">
        <v>72</v>
      </c>
      <c r="G117" s="18">
        <v>0.87</v>
      </c>
    </row>
    <row r="118" spans="1:7" ht="14.25">
      <c r="A118" s="8" t="s">
        <v>73</v>
      </c>
      <c r="B118" s="9">
        <f>E43*F42*B39*G118</f>
        <v>15008.130433567461</v>
      </c>
      <c r="C118" t="s">
        <v>68</v>
      </c>
      <c r="D118" s="13" t="s">
        <v>74</v>
      </c>
      <c r="G118" s="18">
        <v>1.01</v>
      </c>
    </row>
    <row r="119" spans="1:7">
      <c r="A119" s="13" t="s">
        <v>83</v>
      </c>
    </row>
    <row r="120" spans="1:7">
      <c r="A120" s="13"/>
    </row>
    <row r="121" spans="1:7" ht="15">
      <c r="A121" s="8" t="s">
        <v>75</v>
      </c>
      <c r="B121" s="9">
        <f>(G117+D37*POWER((B36/F35),0.2)*(1+C109*B37/F42))*E43*F42*B39*F145*F146*F147</f>
        <v>0</v>
      </c>
      <c r="C121" t="s">
        <v>68</v>
      </c>
      <c r="D121" s="26" t="s">
        <v>116</v>
      </c>
      <c r="E121" s="27">
        <f>B121+2*F77*B44/B47</f>
        <v>5912.9090896291609</v>
      </c>
      <c r="F121" s="25" t="s">
        <v>68</v>
      </c>
    </row>
    <row r="122" spans="1:7" ht="15">
      <c r="A122" s="8" t="s">
        <v>76</v>
      </c>
      <c r="B122" s="9">
        <f>(G118+D37*POWER((B36/F35),0.35)*C109/F42+B37)*E43*F42*B39*F145*F146*F147</f>
        <v>0</v>
      </c>
      <c r="C122" t="s">
        <v>68</v>
      </c>
      <c r="D122" s="26" t="s">
        <v>117</v>
      </c>
      <c r="E122" s="27">
        <f>B122+2*F78*B44/B47</f>
        <v>6259.8582759151559</v>
      </c>
      <c r="F122" s="25" t="s">
        <v>68</v>
      </c>
    </row>
    <row r="123" spans="1:7" ht="13.5" thickBot="1">
      <c r="A123" s="15"/>
      <c r="B123" s="15"/>
      <c r="C123" s="15"/>
      <c r="D123" s="15"/>
      <c r="E123" s="15"/>
      <c r="F123" s="15"/>
      <c r="G123" s="15"/>
    </row>
    <row r="124" spans="1:7">
      <c r="B124" s="17" t="s">
        <v>78</v>
      </c>
    </row>
    <row r="126" spans="1:7" ht="14.25">
      <c r="A126" s="8" t="s">
        <v>81</v>
      </c>
      <c r="B126" s="9">
        <f>E43*C109*B40*G126</f>
        <v>2722.3246547156978</v>
      </c>
      <c r="C126" t="s">
        <v>68</v>
      </c>
      <c r="D126" s="13" t="s">
        <v>80</v>
      </c>
      <c r="G126" s="18">
        <v>0.05</v>
      </c>
    </row>
    <row r="127" spans="1:7" ht="14.25">
      <c r="A127" s="8" t="s">
        <v>82</v>
      </c>
      <c r="B127" s="9">
        <f>E43*C109*E40*G127</f>
        <v>34772.063478461954</v>
      </c>
      <c r="C127" t="s">
        <v>68</v>
      </c>
      <c r="D127" s="13" t="s">
        <v>264</v>
      </c>
      <c r="G127" s="18">
        <v>0.15</v>
      </c>
    </row>
    <row r="128" spans="1:7">
      <c r="A128" s="13" t="s">
        <v>83</v>
      </c>
    </row>
    <row r="129" spans="1:7" ht="14.25">
      <c r="A129" s="8" t="s">
        <v>84</v>
      </c>
      <c r="B129" s="9">
        <f>E43*C109*B40*E129*E130*F145*F146*F147</f>
        <v>0</v>
      </c>
      <c r="C129" t="s">
        <v>68</v>
      </c>
      <c r="D129" s="8" t="s">
        <v>86</v>
      </c>
      <c r="E129" s="6">
        <f>G126+(0.25+0.65*POWER((G46*POWER((B36/F35),-G46)*POWER(D37,-0.5)),0.5))</f>
        <v>0.64555790596162343</v>
      </c>
      <c r="F129" s="8" t="s">
        <v>88</v>
      </c>
      <c r="G129" s="6">
        <f>G127+0.25+(0.65*POWER((G46*POWER((B36/F35),-G46)*POWER(D37,-0.5)*POWER(B38,0.5)),0.5))</f>
        <v>0.81415889681631892</v>
      </c>
    </row>
    <row r="130" spans="1:7" ht="14.25">
      <c r="A130" s="8" t="s">
        <v>85</v>
      </c>
      <c r="B130" s="9">
        <f>E43*C109*E40*G129*G130*F145*F146*F147</f>
        <v>0</v>
      </c>
      <c r="C130" t="s">
        <v>68</v>
      </c>
      <c r="D130" s="8" t="s">
        <v>87</v>
      </c>
      <c r="E130" s="6">
        <f>POWER(F37,3)+2.77*(1-D42)*F37+0.92*(1-D42)*(D38+POWER(B36,3)/(F36*D36*D36))</f>
        <v>1.6581691173687783</v>
      </c>
      <c r="F130" s="8" t="s">
        <v>89</v>
      </c>
      <c r="G130" s="6">
        <f>POWER(D38,3)+2.77*(1-D42)*D38+0.92*(1-D42)*(F37+POWER(B36,3)/(D36*F36*F36))</f>
        <v>1.0374184151015677</v>
      </c>
    </row>
    <row r="131" spans="1:7">
      <c r="B131" s="8"/>
      <c r="C131" s="9"/>
    </row>
    <row r="132" spans="1:7" ht="15">
      <c r="B132" s="8"/>
      <c r="C132" s="9"/>
      <c r="D132" s="26" t="s">
        <v>118</v>
      </c>
      <c r="E132" s="27">
        <f>B129+2*F88*B44/B47</f>
        <v>66847.971532940719</v>
      </c>
      <c r="F132" s="25" t="s">
        <v>68</v>
      </c>
    </row>
    <row r="133" spans="1:7" ht="15">
      <c r="B133" s="8"/>
      <c r="C133" s="9"/>
      <c r="D133" s="26" t="s">
        <v>119</v>
      </c>
      <c r="E133" s="27">
        <f>B130+2*F89*B44/B47</f>
        <v>169946.23117617928</v>
      </c>
      <c r="F133" s="25" t="s">
        <v>68</v>
      </c>
      <c r="G133" s="27"/>
    </row>
    <row r="134" spans="1:7" ht="13.5" thickBot="1">
      <c r="A134" s="15"/>
      <c r="B134" s="15"/>
      <c r="C134" s="15"/>
      <c r="D134" s="15"/>
      <c r="E134" s="15"/>
      <c r="F134" s="15"/>
      <c r="G134" s="15"/>
    </row>
    <row r="135" spans="1:7">
      <c r="A135" s="17" t="s">
        <v>90</v>
      </c>
    </row>
    <row r="137" spans="1:7" ht="14.25">
      <c r="A137" s="8" t="s">
        <v>92</v>
      </c>
      <c r="B137" s="9">
        <f>E43*F42*B41*G137</f>
        <v>13886.452236373878</v>
      </c>
      <c r="C137" t="s">
        <v>68</v>
      </c>
      <c r="D137" s="13" t="s">
        <v>91</v>
      </c>
      <c r="G137" s="18">
        <v>7.0000000000000007E-2</v>
      </c>
    </row>
    <row r="138" spans="1:7" ht="14.25">
      <c r="A138" s="8" t="s">
        <v>93</v>
      </c>
      <c r="B138" s="9">
        <f>(E43*F42*B41*(G137+(G138*F37*(3/F139+D139*POWER(B38,2)/F139+3*F36/(D36*F139))+D139*D36/(F36*F139))))*F145*F146*F147</f>
        <v>0</v>
      </c>
      <c r="C138" t="s">
        <v>68</v>
      </c>
      <c r="D138" s="13" t="s">
        <v>94</v>
      </c>
      <c r="G138" s="18">
        <v>0.06</v>
      </c>
    </row>
    <row r="139" spans="1:7">
      <c r="C139" s="14" t="s">
        <v>95</v>
      </c>
      <c r="D139" s="6">
        <f>3.4/(PI()*(1-D42))</f>
        <v>1.4430048173665178</v>
      </c>
      <c r="E139" s="14" t="s">
        <v>96</v>
      </c>
      <c r="F139" s="6">
        <f>1+POWER(B38,2)</f>
        <v>5.2576434835118686</v>
      </c>
    </row>
    <row r="140" spans="1:7" ht="14.25">
      <c r="E140" s="14" t="s">
        <v>146</v>
      </c>
      <c r="F140" s="6">
        <f>G46*POWER(B38,0.6)*POWER(F37,0.1)</f>
        <v>0.31469676754682863</v>
      </c>
      <c r="G140" s="6"/>
    </row>
    <row r="141" spans="1:7" ht="15">
      <c r="B141" s="26" t="s">
        <v>120</v>
      </c>
      <c r="C141" s="27">
        <f>B138+2*F102*B44/B47</f>
        <v>233276.99744145319</v>
      </c>
      <c r="D141" s="25" t="s">
        <v>68</v>
      </c>
    </row>
    <row r="142" spans="1:7" ht="13.5" thickBot="1">
      <c r="A142" s="15"/>
      <c r="B142" s="15"/>
      <c r="C142" s="15"/>
      <c r="D142" s="15"/>
      <c r="E142" s="15"/>
      <c r="F142" s="15"/>
      <c r="G142" s="15"/>
    </row>
    <row r="143" spans="1:7">
      <c r="A143" s="10" t="s">
        <v>100</v>
      </c>
    </row>
    <row r="145" spans="1:7">
      <c r="A145" s="13" t="s">
        <v>140</v>
      </c>
      <c r="E145" s="13" t="s">
        <v>103</v>
      </c>
      <c r="F145" s="18">
        <v>1</v>
      </c>
    </row>
    <row r="146" spans="1:7">
      <c r="A146" s="13" t="s">
        <v>104</v>
      </c>
      <c r="E146" s="13" t="s">
        <v>105</v>
      </c>
      <c r="F146" s="18">
        <v>1</v>
      </c>
    </row>
    <row r="147" spans="1:7">
      <c r="A147" s="13" t="s">
        <v>102</v>
      </c>
      <c r="E147" s="13" t="s">
        <v>101</v>
      </c>
      <c r="F147" s="20">
        <f>IF(D45&lt;B46,0,1)</f>
        <v>0</v>
      </c>
    </row>
    <row r="148" spans="1:7" ht="13.5" thickBot="1">
      <c r="A148" s="15"/>
      <c r="B148" s="15"/>
      <c r="C148" s="15"/>
      <c r="D148" s="15"/>
      <c r="E148" s="15"/>
      <c r="F148" s="15"/>
      <c r="G148" s="15"/>
    </row>
    <row r="150" spans="1:7">
      <c r="A150" s="10" t="s">
        <v>131</v>
      </c>
    </row>
    <row r="152" spans="1:7">
      <c r="A152" s="13" t="s">
        <v>121</v>
      </c>
    </row>
    <row r="154" spans="1:7">
      <c r="A154" s="29" t="s">
        <v>122</v>
      </c>
      <c r="B154" s="29" t="s">
        <v>123</v>
      </c>
      <c r="C154" s="29" t="s">
        <v>124</v>
      </c>
    </row>
    <row r="155" spans="1:7" ht="15.75">
      <c r="B155" s="29" t="s">
        <v>125</v>
      </c>
      <c r="C155" s="29" t="s">
        <v>125</v>
      </c>
      <c r="D155" s="14" t="s">
        <v>130</v>
      </c>
      <c r="E155" s="32">
        <f>(B158+B156)/2</f>
        <v>5.6950000000000003</v>
      </c>
      <c r="F155" s="14" t="s">
        <v>132</v>
      </c>
      <c r="G155" s="32">
        <f>(C158+C156)/2</f>
        <v>2.76</v>
      </c>
    </row>
    <row r="156" spans="1:7" ht="15.75">
      <c r="A156" s="19">
        <v>1</v>
      </c>
      <c r="B156" s="19">
        <v>0</v>
      </c>
      <c r="C156" s="19">
        <v>0</v>
      </c>
      <c r="D156" s="14" t="s">
        <v>126</v>
      </c>
      <c r="E156" s="32">
        <f>(B156+B157)/2</f>
        <v>0</v>
      </c>
      <c r="F156" s="14" t="s">
        <v>150</v>
      </c>
      <c r="G156" s="33">
        <f>(C156+C157)/2</f>
        <v>2.76</v>
      </c>
    </row>
    <row r="157" spans="1:7" ht="15.75">
      <c r="A157" s="19">
        <v>2</v>
      </c>
      <c r="B157" s="19">
        <v>0</v>
      </c>
      <c r="C157" s="19">
        <f>B35</f>
        <v>5.52</v>
      </c>
      <c r="D157" s="14" t="s">
        <v>127</v>
      </c>
      <c r="E157" s="32">
        <f>(B157+B158)/2</f>
        <v>5.6950000000000003</v>
      </c>
      <c r="F157" s="14" t="s">
        <v>151</v>
      </c>
      <c r="G157" s="32">
        <f>(C157+C158)/2</f>
        <v>5.52</v>
      </c>
    </row>
    <row r="158" spans="1:7" ht="15.75">
      <c r="A158" s="19">
        <v>3</v>
      </c>
      <c r="B158" s="19">
        <f>D35</f>
        <v>11.39</v>
      </c>
      <c r="C158" s="19">
        <f>C157</f>
        <v>5.52</v>
      </c>
      <c r="D158" s="14" t="s">
        <v>128</v>
      </c>
      <c r="E158" s="32">
        <f>(B158+B159)/2</f>
        <v>11.39</v>
      </c>
      <c r="F158" s="14" t="s">
        <v>152</v>
      </c>
      <c r="G158" s="32">
        <f>(C158+C159)/2</f>
        <v>2.76</v>
      </c>
    </row>
    <row r="159" spans="1:7" ht="15.75">
      <c r="A159" s="19">
        <v>4</v>
      </c>
      <c r="B159" s="19">
        <f>B158</f>
        <v>11.39</v>
      </c>
      <c r="C159" s="19">
        <v>0</v>
      </c>
      <c r="D159" s="14" t="s">
        <v>129</v>
      </c>
      <c r="E159" s="32">
        <f>(B159+B156)/2</f>
        <v>5.6950000000000003</v>
      </c>
      <c r="F159" s="14" t="s">
        <v>153</v>
      </c>
      <c r="G159" s="32">
        <f>(C159+C160)/2</f>
        <v>0</v>
      </c>
    </row>
    <row r="160" spans="1:7">
      <c r="A160" s="19">
        <f>A156</f>
        <v>1</v>
      </c>
      <c r="B160" s="19">
        <f>B156</f>
        <v>0</v>
      </c>
      <c r="C160" s="19">
        <f>C156</f>
        <v>0</v>
      </c>
    </row>
    <row r="162" spans="1:6">
      <c r="A162" s="13" t="s">
        <v>136</v>
      </c>
    </row>
    <row r="163" spans="1:6" ht="15">
      <c r="A163" s="8" t="s">
        <v>137</v>
      </c>
      <c r="B163" s="30">
        <f>(C157-C156)*B36</f>
        <v>8.831999999999999</v>
      </c>
    </row>
    <row r="164" spans="1:6" ht="15">
      <c r="A164" s="8" t="s">
        <v>138</v>
      </c>
      <c r="B164" s="30">
        <f>(B158-B157)*B36</f>
        <v>18.224</v>
      </c>
    </row>
    <row r="165" spans="1:6" ht="15">
      <c r="A165" s="8" t="s">
        <v>139</v>
      </c>
      <c r="B165" s="30">
        <f>(C158-C159)*B36</f>
        <v>8.831999999999999</v>
      </c>
    </row>
    <row r="166" spans="1:6" ht="15">
      <c r="A166" s="8" t="s">
        <v>164</v>
      </c>
      <c r="B166" s="30">
        <f>(B159-B160)*B36</f>
        <v>18.224</v>
      </c>
      <c r="C166" t="str">
        <f>IF(SUM(B163:B166)=D39,"…ok","Checar datos")</f>
        <v>…ok</v>
      </c>
    </row>
    <row r="168" spans="1:6">
      <c r="A168" s="11" t="s">
        <v>154</v>
      </c>
    </row>
    <row r="169" spans="1:6" ht="15">
      <c r="B169" s="8" t="s">
        <v>147</v>
      </c>
      <c r="C169" s="34">
        <f>B163*B56</f>
        <v>8885.4089344245021</v>
      </c>
    </row>
    <row r="170" spans="1:6" ht="15">
      <c r="B170" s="8" t="s">
        <v>155</v>
      </c>
      <c r="C170" s="34">
        <f>B164*B56</f>
        <v>18334.20430490853</v>
      </c>
      <c r="E170" s="8" t="s">
        <v>148</v>
      </c>
      <c r="F170" s="32">
        <f>(C169*E156+C170*E157+C171*E158+C172*E159+B54*E155)/B53</f>
        <v>5.6950000000000003</v>
      </c>
    </row>
    <row r="171" spans="1:6" ht="15">
      <c r="B171" s="8" t="s">
        <v>156</v>
      </c>
      <c r="C171" s="34">
        <f>B165*B56</f>
        <v>8885.4089344245021</v>
      </c>
      <c r="E171" s="8" t="s">
        <v>149</v>
      </c>
      <c r="F171" s="32">
        <f>(C169*G156+C170*G157+C171*G158+C172*G159+B54*G155)/B53</f>
        <v>2.76</v>
      </c>
    </row>
    <row r="172" spans="1:6" ht="15">
      <c r="B172" s="8" t="s">
        <v>157</v>
      </c>
      <c r="C172" s="34">
        <f>B166*B56</f>
        <v>18334.20430490853</v>
      </c>
      <c r="D172" t="str">
        <f>IF(SUM(C169:C172)=B55,"…ok","Checa los datos")</f>
        <v>…ok</v>
      </c>
    </row>
    <row r="191" spans="1:3">
      <c r="A191" s="11" t="s">
        <v>158</v>
      </c>
    </row>
    <row r="192" spans="1:3" ht="14.25">
      <c r="A192" s="8" t="s">
        <v>163</v>
      </c>
      <c r="B192" s="1">
        <f>C64/D39</f>
        <v>50301.276133724888</v>
      </c>
      <c r="C192" s="13" t="s">
        <v>135</v>
      </c>
    </row>
    <row r="193" spans="1:6" ht="15">
      <c r="A193" s="8" t="s">
        <v>159</v>
      </c>
      <c r="B193" s="1">
        <f>B192*B163</f>
        <v>444260.87081305817</v>
      </c>
      <c r="C193" s="13" t="s">
        <v>135</v>
      </c>
    </row>
    <row r="194" spans="1:6" ht="15">
      <c r="A194" s="8" t="s">
        <v>160</v>
      </c>
      <c r="B194" s="1">
        <f>B192*B164</f>
        <v>916690.45626100234</v>
      </c>
      <c r="C194" s="13" t="s">
        <v>135</v>
      </c>
      <c r="D194" s="8" t="s">
        <v>165</v>
      </c>
      <c r="E194" s="32">
        <f>(B193*G156+B194*G157+B195*G158+B196*G159+F64*G155)/F65</f>
        <v>2.76</v>
      </c>
    </row>
    <row r="195" spans="1:6" ht="15">
      <c r="A195" s="8" t="s">
        <v>161</v>
      </c>
      <c r="B195" s="1">
        <f>B192*B165</f>
        <v>444260.87081305817</v>
      </c>
      <c r="C195" s="13" t="s">
        <v>135</v>
      </c>
      <c r="D195" s="8" t="s">
        <v>175</v>
      </c>
      <c r="E195" s="32">
        <f>(B193*E199+B194*E200+B195*E201+B196*E202+F64*C198)/F65</f>
        <v>-0.8</v>
      </c>
    </row>
    <row r="196" spans="1:6" ht="15">
      <c r="A196" s="8" t="s">
        <v>162</v>
      </c>
      <c r="B196" s="1">
        <f>B192*B166</f>
        <v>916690.45626100234</v>
      </c>
      <c r="C196" s="13" t="s">
        <v>135</v>
      </c>
      <c r="D196" t="str">
        <f>IF(SUM(B193:B196)=C64,"…ok","Checa los datos")</f>
        <v>…ok</v>
      </c>
    </row>
    <row r="198" spans="1:6" ht="15.75">
      <c r="B198" s="14" t="s">
        <v>166</v>
      </c>
      <c r="C198" s="32">
        <f>-B36/2</f>
        <v>-0.8</v>
      </c>
    </row>
    <row r="199" spans="1:6" ht="15.75">
      <c r="B199" s="14" t="s">
        <v>171</v>
      </c>
      <c r="C199" s="35">
        <v>0</v>
      </c>
      <c r="D199" s="14" t="s">
        <v>167</v>
      </c>
      <c r="E199" s="32">
        <f>(C199-$B$36)/2</f>
        <v>-0.8</v>
      </c>
    </row>
    <row r="200" spans="1:6" ht="15.75">
      <c r="B200" s="14" t="s">
        <v>172</v>
      </c>
      <c r="C200" s="35">
        <v>0</v>
      </c>
      <c r="D200" s="14" t="s">
        <v>168</v>
      </c>
      <c r="E200" s="32">
        <f>(C200-$B$36)/2</f>
        <v>-0.8</v>
      </c>
    </row>
    <row r="201" spans="1:6" ht="15.75">
      <c r="B201" s="14" t="s">
        <v>173</v>
      </c>
      <c r="C201" s="35">
        <v>0</v>
      </c>
      <c r="D201" s="14" t="s">
        <v>169</v>
      </c>
      <c r="E201" s="32">
        <f>(C201-$B$36)/2</f>
        <v>-0.8</v>
      </c>
    </row>
    <row r="202" spans="1:6" ht="15.75">
      <c r="B202" s="14" t="s">
        <v>174</v>
      </c>
      <c r="C202" s="35">
        <v>0</v>
      </c>
      <c r="D202" s="14" t="s">
        <v>170</v>
      </c>
      <c r="E202" s="32">
        <f>(C202-$B$36)/2</f>
        <v>-0.8</v>
      </c>
    </row>
    <row r="203" spans="1:6">
      <c r="E203" s="32"/>
    </row>
    <row r="204" spans="1:6">
      <c r="A204" s="11" t="s">
        <v>176</v>
      </c>
    </row>
    <row r="205" spans="1:6" ht="14.25">
      <c r="B205" s="8" t="s">
        <v>177</v>
      </c>
      <c r="C205" s="1">
        <f>C68/D39</f>
        <v>47513.355696150495</v>
      </c>
      <c r="D205" s="13" t="s">
        <v>135</v>
      </c>
    </row>
    <row r="206" spans="1:6" ht="15">
      <c r="B206" s="8" t="s">
        <v>178</v>
      </c>
      <c r="C206" s="1">
        <f>C205*B163</f>
        <v>419637.95750840113</v>
      </c>
      <c r="D206" s="13" t="s">
        <v>135</v>
      </c>
    </row>
    <row r="207" spans="1:6" ht="15">
      <c r="B207" s="8" t="s">
        <v>179</v>
      </c>
      <c r="C207" s="1">
        <f>C205*B164</f>
        <v>865883.3942066466</v>
      </c>
      <c r="D207" s="13" t="s">
        <v>135</v>
      </c>
      <c r="E207" s="8" t="s">
        <v>182</v>
      </c>
      <c r="F207" s="32">
        <f>(C206*E156+C207*E157+C208*E158+C209*E159+F68*E155)/F69</f>
        <v>5.6949999999999994</v>
      </c>
    </row>
    <row r="208" spans="1:6" ht="15">
      <c r="B208" s="8" t="s">
        <v>180</v>
      </c>
      <c r="C208" s="1">
        <f>C205*B165</f>
        <v>419637.95750840113</v>
      </c>
      <c r="D208" s="13" t="s">
        <v>135</v>
      </c>
      <c r="E208" s="8" t="s">
        <v>239</v>
      </c>
      <c r="F208" s="32">
        <f>(C206*E199+C207*E200+C208*E201+C209*E202+F68*C198)/F69</f>
        <v>-0.8</v>
      </c>
    </row>
    <row r="209" spans="1:6" ht="15">
      <c r="B209" s="8" t="s">
        <v>181</v>
      </c>
      <c r="C209" s="1">
        <f>C205*B166</f>
        <v>865883.3942066466</v>
      </c>
      <c r="D209" s="13" t="s">
        <v>135</v>
      </c>
      <c r="E209" t="str">
        <f>IF(SUM(C206:C209)=C68,"…ok","Checa los datos")</f>
        <v>…ok</v>
      </c>
    </row>
    <row r="211" spans="1:6">
      <c r="A211" t="s">
        <v>183</v>
      </c>
    </row>
    <row r="213" spans="1:6">
      <c r="A213" t="s">
        <v>184</v>
      </c>
    </row>
    <row r="214" spans="1:6">
      <c r="A214" t="s">
        <v>192</v>
      </c>
      <c r="B214" s="19" t="s">
        <v>191</v>
      </c>
      <c r="C214" s="19" t="s">
        <v>194</v>
      </c>
      <c r="D214" s="19" t="s">
        <v>195</v>
      </c>
    </row>
    <row r="215" spans="1:6">
      <c r="A215" t="s">
        <v>193</v>
      </c>
      <c r="B215" s="42">
        <v>2.36</v>
      </c>
      <c r="C215" s="42">
        <v>4.07</v>
      </c>
      <c r="D215" s="42">
        <v>2.44</v>
      </c>
    </row>
    <row r="216" spans="1:6">
      <c r="A216" t="s">
        <v>190</v>
      </c>
      <c r="B216" s="36">
        <f>B35</f>
        <v>5.52</v>
      </c>
      <c r="C216" s="42">
        <v>1.1200000000000001</v>
      </c>
      <c r="D216" s="42">
        <v>2.44</v>
      </c>
    </row>
    <row r="218" spans="1:6">
      <c r="A218" s="37" t="s">
        <v>185</v>
      </c>
      <c r="B218" s="37" t="s">
        <v>186</v>
      </c>
      <c r="C218" s="37" t="s">
        <v>123</v>
      </c>
      <c r="D218" s="37" t="s">
        <v>124</v>
      </c>
      <c r="E218" s="37" t="s">
        <v>187</v>
      </c>
      <c r="F218" s="37" t="s">
        <v>188</v>
      </c>
    </row>
    <row r="219" spans="1:6">
      <c r="A219" s="37" t="s">
        <v>189</v>
      </c>
      <c r="B219" s="4">
        <f>B39*E41</f>
        <v>119.45831999999999</v>
      </c>
      <c r="C219" s="36">
        <f>F170</f>
        <v>5.6950000000000003</v>
      </c>
      <c r="D219" s="36">
        <f>F171</f>
        <v>2.76</v>
      </c>
      <c r="E219" s="1">
        <f>B219*2.4*C219</f>
        <v>1632.7563177599998</v>
      </c>
      <c r="F219" s="1">
        <f>B219*2.4*D219</f>
        <v>791.29191167999977</v>
      </c>
    </row>
    <row r="220" spans="1:6">
      <c r="A220" s="10" t="s">
        <v>193</v>
      </c>
      <c r="B220" s="4">
        <f>B215*C215*D215</f>
        <v>23.436688</v>
      </c>
      <c r="C220" s="36">
        <f>C215/2</f>
        <v>2.0350000000000001</v>
      </c>
      <c r="D220" s="36">
        <f>D219</f>
        <v>2.76</v>
      </c>
      <c r="E220" s="1">
        <f>B220*2.4*C220</f>
        <v>114.46478419200001</v>
      </c>
      <c r="F220" s="1">
        <f>B220*2.4*D220</f>
        <v>155.24462131199999</v>
      </c>
    </row>
    <row r="221" spans="1:6">
      <c r="A221" s="10" t="s">
        <v>190</v>
      </c>
      <c r="B221" s="4">
        <f>B216*C216*D216</f>
        <v>15.085056</v>
      </c>
      <c r="C221" s="36">
        <f>E158-C216/2</f>
        <v>10.83</v>
      </c>
      <c r="D221" s="36">
        <f>D220</f>
        <v>2.76</v>
      </c>
      <c r="E221" s="1">
        <f>B221*2.4*C221</f>
        <v>392.09077555200003</v>
      </c>
      <c r="F221" s="1">
        <f>B221*2.4*D221</f>
        <v>99.923410943999997</v>
      </c>
    </row>
    <row r="222" spans="1:6">
      <c r="A222" s="10" t="s">
        <v>201</v>
      </c>
      <c r="B222" s="45">
        <v>15.5</v>
      </c>
      <c r="C222" s="36">
        <f>C220</f>
        <v>2.0350000000000001</v>
      </c>
      <c r="D222" s="36">
        <f>D220</f>
        <v>2.76</v>
      </c>
      <c r="E222" s="1">
        <f>B222*C222</f>
        <v>31.542500000000004</v>
      </c>
      <c r="F222" s="1">
        <f>B222*D222</f>
        <v>42.779999999999994</v>
      </c>
    </row>
    <row r="223" spans="1:6">
      <c r="A223" s="10" t="s">
        <v>200</v>
      </c>
      <c r="B223" s="45">
        <v>22</v>
      </c>
      <c r="C223" s="36">
        <f>C219</f>
        <v>5.6950000000000003</v>
      </c>
      <c r="D223" s="36">
        <f>D219</f>
        <v>2.76</v>
      </c>
      <c r="E223" s="1">
        <f>B223*C223</f>
        <v>125.29</v>
      </c>
      <c r="F223" s="1">
        <f>B223*D223</f>
        <v>60.72</v>
      </c>
    </row>
    <row r="224" spans="1:6">
      <c r="A224" s="10" t="s">
        <v>199</v>
      </c>
      <c r="B224" s="45">
        <v>21.25</v>
      </c>
      <c r="C224" s="36">
        <f>C223</f>
        <v>5.6950000000000003</v>
      </c>
      <c r="D224" s="36">
        <f>D223</f>
        <v>2.76</v>
      </c>
      <c r="E224" s="1">
        <f>B224*C224</f>
        <v>121.01875000000001</v>
      </c>
      <c r="F224" s="1">
        <f>B224*D224</f>
        <v>58.65</v>
      </c>
    </row>
    <row r="225" spans="1:6">
      <c r="A225" s="29" t="s">
        <v>196</v>
      </c>
      <c r="B225" s="4">
        <f>SUM(B219:B221)*2.4+SUM(B222:B224)</f>
        <v>437.90215359999996</v>
      </c>
      <c r="C225" s="19"/>
      <c r="D225" s="19"/>
      <c r="E225" s="1">
        <f>SUM(E219:E224)</f>
        <v>2417.1631275039999</v>
      </c>
      <c r="F225" s="1">
        <f>SUM(F219:F224)</f>
        <v>1208.6099439359998</v>
      </c>
    </row>
    <row r="227" spans="1:6">
      <c r="A227" s="10" t="s">
        <v>202</v>
      </c>
      <c r="D227" s="14" t="s">
        <v>197</v>
      </c>
      <c r="E227" s="36">
        <f>E225/B225</f>
        <v>5.5198703811627023</v>
      </c>
    </row>
    <row r="228" spans="1:6">
      <c r="D228" s="14" t="s">
        <v>198</v>
      </c>
      <c r="E228" s="36">
        <f>F225/B225</f>
        <v>2.76</v>
      </c>
    </row>
    <row r="230" spans="1:6">
      <c r="A230" s="13" t="s">
        <v>220</v>
      </c>
      <c r="C230" s="36">
        <f>E155-E227</f>
        <v>0.17512961883729794</v>
      </c>
    </row>
    <row r="231" spans="1:6">
      <c r="A231" s="13" t="s">
        <v>221</v>
      </c>
      <c r="C231" s="36">
        <f>G155-E228</f>
        <v>0</v>
      </c>
    </row>
    <row r="232" spans="1:6">
      <c r="A232" s="13" t="s">
        <v>206</v>
      </c>
      <c r="C232" s="14" t="s">
        <v>203</v>
      </c>
      <c r="D232" s="38">
        <f>B225*ABS(E228-G155)</f>
        <v>0</v>
      </c>
      <c r="E232" s="13" t="s">
        <v>205</v>
      </c>
    </row>
    <row r="233" spans="1:6">
      <c r="C233" s="14" t="s">
        <v>204</v>
      </c>
      <c r="D233" s="38">
        <f>B225*C230</f>
        <v>76.689637247999883</v>
      </c>
      <c r="E233" s="13" t="s">
        <v>205</v>
      </c>
    </row>
    <row r="234" spans="1:6">
      <c r="A234" s="13" t="s">
        <v>207</v>
      </c>
    </row>
    <row r="235" spans="1:6" ht="14.25">
      <c r="C235" s="8" t="s">
        <v>210</v>
      </c>
      <c r="D235" s="9">
        <f>(B225/B39)+D232*D36/B40</f>
        <v>6.9648902800575128</v>
      </c>
      <c r="E235" s="10" t="s">
        <v>11</v>
      </c>
    </row>
    <row r="236" spans="1:6" ht="14.25">
      <c r="C236" s="8" t="s">
        <v>211</v>
      </c>
      <c r="D236" s="9">
        <f>(B225/B39)+D233*F36/E40</f>
        <v>7.6074321132392901</v>
      </c>
      <c r="E236" s="10" t="s">
        <v>11</v>
      </c>
    </row>
    <row r="238" spans="1:6">
      <c r="A238" s="10" t="s">
        <v>212</v>
      </c>
    </row>
    <row r="240" spans="1:6" ht="15.75">
      <c r="A240" s="13" t="s">
        <v>216</v>
      </c>
      <c r="C240" s="14" t="s">
        <v>217</v>
      </c>
      <c r="D240">
        <f>C241*B242*POWER(B47,2)</f>
        <v>0.3613199469049877</v>
      </c>
    </row>
    <row r="241" spans="1:4">
      <c r="A241" s="13" t="s">
        <v>213</v>
      </c>
      <c r="B241" s="43">
        <v>1</v>
      </c>
      <c r="C241">
        <f>B241*28.7/1000/1000</f>
        <v>2.87E-5</v>
      </c>
      <c r="D241" s="13" t="s">
        <v>214</v>
      </c>
    </row>
    <row r="242" spans="1:4">
      <c r="A242" s="13" t="s">
        <v>215</v>
      </c>
      <c r="B242" s="42">
        <v>1.45</v>
      </c>
    </row>
    <row r="244" spans="1:4">
      <c r="A244" s="13" t="s">
        <v>218</v>
      </c>
    </row>
    <row r="246" spans="1:4">
      <c r="A246" s="29" t="s">
        <v>219</v>
      </c>
      <c r="B246" s="29" t="s">
        <v>255</v>
      </c>
      <c r="C246" s="29" t="s">
        <v>256</v>
      </c>
      <c r="D246" s="29" t="s">
        <v>259</v>
      </c>
    </row>
    <row r="247" spans="1:4">
      <c r="A247">
        <v>0</v>
      </c>
      <c r="B247" s="47">
        <f t="shared" ref="B247:B267" si="0">$D$240*COS(-$B$47*A247)</f>
        <v>0.3613199469049877</v>
      </c>
      <c r="C247" s="47">
        <f t="shared" ref="C247:C267" si="1">$D$240*SIN(-$B$47*A247)</f>
        <v>0</v>
      </c>
      <c r="D247" s="47">
        <f>SQRT(POWER(B247,2)+POWER(C247,2))</f>
        <v>0.3613199469049877</v>
      </c>
    </row>
    <row r="248" spans="1:4">
      <c r="A248">
        <v>1</v>
      </c>
      <c r="B248" s="47">
        <f t="shared" si="0"/>
        <v>0.17406721194771191</v>
      </c>
      <c r="C248" s="47">
        <f t="shared" si="1"/>
        <v>0.31662708310593629</v>
      </c>
      <c r="D248" s="47">
        <f t="shared" ref="D248:D267" si="2">SQRT(POWER(B248,2)+POWER(C248,2))</f>
        <v>0.3613199469049877</v>
      </c>
    </row>
    <row r="249" spans="1:4">
      <c r="A249">
        <v>2</v>
      </c>
      <c r="B249" s="47">
        <f t="shared" si="0"/>
        <v>-0.1936049091120858</v>
      </c>
      <c r="C249" s="47">
        <f t="shared" si="1"/>
        <v>0.30507252121278328</v>
      </c>
      <c r="D249" s="47">
        <f t="shared" si="2"/>
        <v>0.3613199469049877</v>
      </c>
    </row>
    <row r="250" spans="1:4">
      <c r="A250">
        <v>3</v>
      </c>
      <c r="B250" s="47">
        <f t="shared" si="0"/>
        <v>-0.36060696452546109</v>
      </c>
      <c r="C250" s="47">
        <f t="shared" si="1"/>
        <v>-2.2687467182477033E-2</v>
      </c>
      <c r="D250" s="47">
        <f t="shared" si="2"/>
        <v>0.3613199469049877</v>
      </c>
    </row>
    <row r="251" spans="1:4">
      <c r="A251">
        <v>4</v>
      </c>
      <c r="B251" s="47">
        <f t="shared" si="0"/>
        <v>-0.15384255102152453</v>
      </c>
      <c r="C251" s="47">
        <f t="shared" si="1"/>
        <v>-0.32693206255522378</v>
      </c>
      <c r="D251" s="47">
        <f t="shared" si="2"/>
        <v>0.3613199469049877</v>
      </c>
    </row>
    <row r="252" spans="1:4">
      <c r="A252">
        <v>5</v>
      </c>
      <c r="B252" s="47">
        <f t="shared" si="0"/>
        <v>0.21237853614986327</v>
      </c>
      <c r="C252" s="47">
        <f t="shared" si="1"/>
        <v>-0.29231397745277998</v>
      </c>
      <c r="D252" s="47">
        <f t="shared" si="2"/>
        <v>0.3613199469049877</v>
      </c>
    </row>
    <row r="253" spans="1:4">
      <c r="A253">
        <v>6</v>
      </c>
      <c r="B253" s="47">
        <f t="shared" si="0"/>
        <v>0.35847083120260265</v>
      </c>
      <c r="C253" s="47">
        <f t="shared" si="1"/>
        <v>4.5285397296902577E-2</v>
      </c>
      <c r="D253" s="47">
        <f t="shared" si="2"/>
        <v>0.3613199469049877</v>
      </c>
    </row>
    <row r="254" spans="1:4">
      <c r="A254">
        <v>7</v>
      </c>
      <c r="B254" s="47">
        <f t="shared" si="0"/>
        <v>0.13301074383043077</v>
      </c>
      <c r="C254" s="47">
        <f t="shared" si="1"/>
        <v>0.3359467905146567</v>
      </c>
      <c r="D254" s="47">
        <f t="shared" si="2"/>
        <v>0.3613199469049877</v>
      </c>
    </row>
    <row r="255" spans="1:4">
      <c r="A255">
        <v>8</v>
      </c>
      <c r="B255" s="47">
        <f t="shared" si="0"/>
        <v>-0.23031400213198036</v>
      </c>
      <c r="C255" s="47">
        <f t="shared" si="1"/>
        <v>0.27840180396932285</v>
      </c>
      <c r="D255" s="47">
        <f t="shared" si="2"/>
        <v>0.3613199469049877</v>
      </c>
    </row>
    <row r="256" spans="1:4">
      <c r="A256">
        <v>9</v>
      </c>
      <c r="B256" s="47">
        <f t="shared" si="0"/>
        <v>-0.35491997727873109</v>
      </c>
      <c r="C256" s="47">
        <f t="shared" si="1"/>
        <v>-6.7704606637127185E-2</v>
      </c>
      <c r="D256" s="47">
        <f t="shared" si="2"/>
        <v>0.3613199469049877</v>
      </c>
    </row>
    <row r="257" spans="1:7">
      <c r="A257">
        <v>10</v>
      </c>
      <c r="B257" s="47">
        <f t="shared" si="0"/>
        <v>-0.11165400400026654</v>
      </c>
      <c r="C257" s="47">
        <f t="shared" si="1"/>
        <v>-0.34363568997141669</v>
      </c>
      <c r="D257" s="47">
        <f t="shared" si="2"/>
        <v>0.3613199469049877</v>
      </c>
    </row>
    <row r="258" spans="1:7">
      <c r="A258">
        <v>11</v>
      </c>
      <c r="B258" s="47">
        <f t="shared" si="0"/>
        <v>0.24734052396814071</v>
      </c>
      <c r="C258" s="47">
        <f t="shared" si="1"/>
        <v>-0.26339090575528373</v>
      </c>
      <c r="D258" s="47">
        <f t="shared" si="2"/>
        <v>0.3613199469049877</v>
      </c>
    </row>
    <row r="259" spans="1:7">
      <c r="A259">
        <v>12</v>
      </c>
      <c r="B259" s="47">
        <f t="shared" si="0"/>
        <v>0.34996841635205328</v>
      </c>
      <c r="C259" s="47">
        <f t="shared" si="1"/>
        <v>8.9856616826247376E-2</v>
      </c>
      <c r="D259" s="47">
        <f t="shared" si="2"/>
        <v>0.36131994690498775</v>
      </c>
    </row>
    <row r="260" spans="1:7">
      <c r="A260">
        <v>13</v>
      </c>
      <c r="B260" s="47">
        <f t="shared" si="0"/>
        <v>8.985661682617517E-2</v>
      </c>
      <c r="C260" s="47">
        <f t="shared" si="1"/>
        <v>0.34996841635207182</v>
      </c>
      <c r="D260" s="47">
        <f t="shared" si="2"/>
        <v>0.36131994690498775</v>
      </c>
    </row>
    <row r="261" spans="1:7">
      <c r="A261">
        <v>14</v>
      </c>
      <c r="B261" s="47">
        <f t="shared" si="0"/>
        <v>-0.26339090575533475</v>
      </c>
      <c r="C261" s="47">
        <f t="shared" si="1"/>
        <v>0.24734052396808634</v>
      </c>
      <c r="D261" s="47">
        <f t="shared" si="2"/>
        <v>0.3613199469049877</v>
      </c>
    </row>
    <row r="262" spans="1:7">
      <c r="A262">
        <v>15</v>
      </c>
      <c r="B262" s="47">
        <f t="shared" si="0"/>
        <v>-0.34363568997139365</v>
      </c>
      <c r="C262" s="47">
        <f t="shared" si="1"/>
        <v>-0.11165400400033741</v>
      </c>
      <c r="D262" s="47">
        <f t="shared" si="2"/>
        <v>0.3613199469049877</v>
      </c>
    </row>
    <row r="263" spans="1:7">
      <c r="A263">
        <v>16</v>
      </c>
      <c r="B263" s="47">
        <f t="shared" si="0"/>
        <v>-6.7704606637053952E-2</v>
      </c>
      <c r="C263" s="47">
        <f t="shared" si="1"/>
        <v>-0.35491997727874508</v>
      </c>
      <c r="D263" s="47">
        <f t="shared" si="2"/>
        <v>0.3613199469049877</v>
      </c>
    </row>
    <row r="264" spans="1:7">
      <c r="A264">
        <v>17</v>
      </c>
      <c r="B264" s="47">
        <f t="shared" si="0"/>
        <v>0.27840180396937036</v>
      </c>
      <c r="C264" s="47">
        <f t="shared" si="1"/>
        <v>-0.23031400213192293</v>
      </c>
      <c r="D264" s="47">
        <f t="shared" si="2"/>
        <v>0.3613199469049877</v>
      </c>
    </row>
    <row r="265" spans="1:7">
      <c r="A265">
        <v>18</v>
      </c>
      <c r="B265" s="47">
        <f t="shared" si="0"/>
        <v>0.33594679051462928</v>
      </c>
      <c r="C265" s="47">
        <f t="shared" si="1"/>
        <v>0.1330107438305001</v>
      </c>
      <c r="D265" s="47">
        <f t="shared" si="2"/>
        <v>0.3613199469049877</v>
      </c>
    </row>
    <row r="266" spans="1:7">
      <c r="A266">
        <v>19</v>
      </c>
      <c r="B266" s="47">
        <f t="shared" si="0"/>
        <v>4.5285397296828629E-2</v>
      </c>
      <c r="C266" s="47">
        <f t="shared" si="1"/>
        <v>0.35847083120261197</v>
      </c>
      <c r="D266" s="47">
        <f t="shared" si="2"/>
        <v>0.3613199469049877</v>
      </c>
    </row>
    <row r="267" spans="1:7">
      <c r="A267">
        <v>20</v>
      </c>
      <c r="B267" s="47">
        <f t="shared" si="0"/>
        <v>-0.29231397745282378</v>
      </c>
      <c r="C267" s="47">
        <f t="shared" si="1"/>
        <v>0.21237853614980293</v>
      </c>
      <c r="D267" s="47">
        <f t="shared" si="2"/>
        <v>0.3613199469049877</v>
      </c>
    </row>
    <row r="268" spans="1:7">
      <c r="B268" s="47"/>
      <c r="C268" s="47"/>
      <c r="D268" s="47"/>
    </row>
    <row r="269" spans="1:7">
      <c r="A269" t="s">
        <v>243</v>
      </c>
    </row>
    <row r="271" spans="1:7">
      <c r="B271" s="47">
        <v>0</v>
      </c>
      <c r="C271" s="46"/>
      <c r="D271" s="46"/>
      <c r="E271" s="46"/>
      <c r="F271" s="46"/>
      <c r="G271" s="46"/>
    </row>
    <row r="272" spans="1:7">
      <c r="B272" s="47">
        <f>D240</f>
        <v>0.3613199469049877</v>
      </c>
      <c r="C272" s="46"/>
      <c r="D272" s="46"/>
      <c r="E272" s="46"/>
      <c r="F272" s="46"/>
      <c r="G272" s="46"/>
    </row>
    <row r="273" spans="1:7">
      <c r="A273" s="55" t="s">
        <v>262</v>
      </c>
      <c r="B273" s="47">
        <f>D240</f>
        <v>0.3613199469049877</v>
      </c>
      <c r="C273" s="46"/>
      <c r="D273" s="46"/>
      <c r="E273" s="46"/>
      <c r="F273" s="46"/>
      <c r="G273" s="46"/>
    </row>
    <row r="274" spans="1:7">
      <c r="A274" s="56"/>
      <c r="B274" s="47">
        <v>0</v>
      </c>
      <c r="C274" s="46"/>
      <c r="D274" s="46"/>
      <c r="E274" s="46"/>
      <c r="F274" s="46"/>
      <c r="G274" s="46"/>
    </row>
    <row r="275" spans="1:7">
      <c r="B275" s="47">
        <f>F271</f>
        <v>0</v>
      </c>
      <c r="C275" s="46"/>
      <c r="D275" s="46"/>
      <c r="E275" s="46"/>
      <c r="F275" s="46"/>
      <c r="G275" s="46"/>
    </row>
    <row r="276" spans="1:7">
      <c r="B276" s="47">
        <f>G271</f>
        <v>0</v>
      </c>
      <c r="C276" s="46"/>
      <c r="D276" s="46"/>
      <c r="E276" s="46"/>
      <c r="F276" s="46"/>
      <c r="G276" s="46"/>
    </row>
    <row r="278" spans="1:7">
      <c r="A278" t="s">
        <v>222</v>
      </c>
    </row>
    <row r="279" spans="1:7">
      <c r="A279" s="13" t="s">
        <v>231</v>
      </c>
    </row>
    <row r="280" spans="1:7">
      <c r="A280" s="29" t="s">
        <v>185</v>
      </c>
      <c r="B280" s="29" t="s">
        <v>223</v>
      </c>
      <c r="C280" s="29" t="s">
        <v>224</v>
      </c>
      <c r="D280" s="29" t="s">
        <v>225</v>
      </c>
      <c r="E280" s="29" t="s">
        <v>228</v>
      </c>
      <c r="F280" s="29" t="s">
        <v>226</v>
      </c>
    </row>
    <row r="281" spans="1:7">
      <c r="A281" s="29" t="s">
        <v>189</v>
      </c>
      <c r="B281" s="4">
        <f>B219*2.4/9.81</f>
        <v>29.225277064220176</v>
      </c>
      <c r="C281" s="6">
        <f>(POWER(B216,2)+POWER(E41,2))/12</f>
        <v>2.840033333333333</v>
      </c>
      <c r="D281" s="24">
        <v>0</v>
      </c>
      <c r="E281" s="1">
        <f>B281*D281</f>
        <v>0</v>
      </c>
      <c r="F281" s="1">
        <f>C281*B281+E281</f>
        <v>83.000761038287436</v>
      </c>
    </row>
    <row r="282" spans="1:7">
      <c r="A282" s="13" t="s">
        <v>199</v>
      </c>
      <c r="B282" s="4">
        <f>B224/9.81</f>
        <v>2.1661569826707439</v>
      </c>
      <c r="C282" s="6">
        <f>106.25/9.81</f>
        <v>10.830784913353719</v>
      </c>
      <c r="D282" s="6">
        <v>5.33</v>
      </c>
      <c r="E282" s="1">
        <f t="shared" ref="E282" si="3">B282*D282</f>
        <v>11.545616717635065</v>
      </c>
      <c r="F282" s="1">
        <f>C282+E282</f>
        <v>22.376401630988784</v>
      </c>
    </row>
    <row r="283" spans="1:7">
      <c r="A283" s="29" t="s">
        <v>196</v>
      </c>
      <c r="B283" s="4">
        <f>SUM(B281:B282)</f>
        <v>31.391434046890922</v>
      </c>
      <c r="C283" s="6"/>
      <c r="D283" s="19"/>
      <c r="E283" s="44" t="s">
        <v>230</v>
      </c>
      <c r="F283" s="1">
        <f>SUM(F281:F282)</f>
        <v>105.37716266927622</v>
      </c>
      <c r="G283" s="13" t="s">
        <v>229</v>
      </c>
    </row>
    <row r="285" spans="1:7">
      <c r="A285" s="13" t="s">
        <v>232</v>
      </c>
    </row>
    <row r="286" spans="1:7">
      <c r="A286" s="29" t="s">
        <v>185</v>
      </c>
      <c r="B286" s="29" t="s">
        <v>223</v>
      </c>
      <c r="C286" s="29" t="s">
        <v>224</v>
      </c>
      <c r="D286" s="29" t="s">
        <v>225</v>
      </c>
      <c r="E286" s="29" t="s">
        <v>228</v>
      </c>
      <c r="F286" s="29" t="s">
        <v>226</v>
      </c>
    </row>
    <row r="287" spans="1:7">
      <c r="A287" s="29" t="s">
        <v>189</v>
      </c>
      <c r="B287" s="4">
        <f>B281</f>
        <v>29.225277064220176</v>
      </c>
      <c r="C287" s="6">
        <f>(POWER(D35,2)+POWER(E41,2))/12</f>
        <v>11.111841666666669</v>
      </c>
      <c r="D287" s="24">
        <v>0</v>
      </c>
      <c r="E287" s="1">
        <f>B287*D287</f>
        <v>0</v>
      </c>
      <c r="F287" s="1">
        <f>C287*B287+E287</f>
        <v>324.74665140207946</v>
      </c>
    </row>
    <row r="288" spans="1:7">
      <c r="A288" s="13" t="s">
        <v>199</v>
      </c>
      <c r="B288" s="4">
        <f t="shared" ref="B288" si="4">B282</f>
        <v>2.1661569826707439</v>
      </c>
      <c r="C288" s="6">
        <f>106.25/9.81</f>
        <v>10.830784913353719</v>
      </c>
      <c r="D288" s="6">
        <v>5.33</v>
      </c>
      <c r="E288" s="1">
        <f t="shared" ref="E288" si="5">B288*D288</f>
        <v>11.545616717635065</v>
      </c>
      <c r="F288" s="1">
        <f>C288+E288</f>
        <v>22.376401630988784</v>
      </c>
    </row>
    <row r="289" spans="1:7">
      <c r="A289" s="29" t="s">
        <v>196</v>
      </c>
      <c r="B289" s="4">
        <f>SUM(B287:B288)</f>
        <v>31.391434046890922</v>
      </c>
      <c r="C289" s="6"/>
      <c r="D289" s="19"/>
      <c r="E289" s="44" t="s">
        <v>230</v>
      </c>
      <c r="F289" s="1">
        <f>SUM(F287:F288)</f>
        <v>347.12305303306823</v>
      </c>
      <c r="G289" s="13" t="s">
        <v>229</v>
      </c>
    </row>
    <row r="290" spans="1:7">
      <c r="A290" s="29"/>
      <c r="B290" s="4"/>
      <c r="C290" s="6"/>
      <c r="D290" s="19"/>
      <c r="E290" s="44"/>
      <c r="F290" s="1"/>
      <c r="G290" s="13"/>
    </row>
    <row r="291" spans="1:7">
      <c r="A291" s="29"/>
      <c r="B291" s="4"/>
      <c r="C291" s="6"/>
      <c r="D291" s="19"/>
      <c r="E291" s="44"/>
      <c r="F291" s="1"/>
      <c r="G291" s="13"/>
    </row>
    <row r="292" spans="1:7">
      <c r="A292" s="13" t="s">
        <v>233</v>
      </c>
    </row>
    <row r="293" spans="1:7">
      <c r="A293" s="29" t="s">
        <v>185</v>
      </c>
      <c r="B293" s="29" t="s">
        <v>223</v>
      </c>
      <c r="C293" s="29" t="s">
        <v>224</v>
      </c>
      <c r="D293" s="29" t="s">
        <v>225</v>
      </c>
      <c r="E293" s="29" t="s">
        <v>228</v>
      </c>
      <c r="F293" s="29" t="s">
        <v>226</v>
      </c>
    </row>
    <row r="294" spans="1:7">
      <c r="A294" s="29" t="s">
        <v>189</v>
      </c>
      <c r="B294" s="4">
        <f>B287</f>
        <v>29.225277064220176</v>
      </c>
      <c r="C294" s="6">
        <f>(POWER(D35,2)+POWER(B35,2))/12</f>
        <v>13.350208333333333</v>
      </c>
      <c r="D294" s="24">
        <v>0</v>
      </c>
      <c r="E294" s="1">
        <f>B294*D294</f>
        <v>0</v>
      </c>
      <c r="F294" s="1">
        <f>C294*B294+E294</f>
        <v>390.1635374067277</v>
      </c>
    </row>
    <row r="295" spans="1:7">
      <c r="A295" s="29" t="s">
        <v>196</v>
      </c>
      <c r="B295" s="4">
        <f>SUM(B294:B294)</f>
        <v>29.225277064220176</v>
      </c>
      <c r="C295" s="6"/>
      <c r="D295" s="19"/>
      <c r="E295" s="44" t="s">
        <v>230</v>
      </c>
      <c r="F295" s="1">
        <f>SUM(F294:F294)</f>
        <v>390.1635374067277</v>
      </c>
      <c r="G295" s="13" t="s">
        <v>229</v>
      </c>
    </row>
    <row r="296" spans="1:7">
      <c r="A296" s="29"/>
      <c r="B296" s="4"/>
      <c r="C296" s="6"/>
      <c r="D296" s="19"/>
      <c r="E296" s="44"/>
      <c r="F296" s="1"/>
      <c r="G296" s="13"/>
    </row>
    <row r="297" spans="1:7">
      <c r="A297" s="13" t="s">
        <v>235</v>
      </c>
      <c r="C297" s="4">
        <f>B283+(B220+B221)*2.4/9.81</f>
        <v>40.815713924566765</v>
      </c>
      <c r="D297" s="13" t="s">
        <v>236</v>
      </c>
    </row>
    <row r="298" spans="1:7">
      <c r="A298" s="13" t="s">
        <v>234</v>
      </c>
      <c r="C298" s="4"/>
      <c r="D298" s="13"/>
      <c r="E298" s="13"/>
    </row>
    <row r="300" spans="1:7">
      <c r="B300" s="4">
        <f>C297</f>
        <v>40.815713924566765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</row>
    <row r="301" spans="1:7">
      <c r="B301" s="19">
        <v>0</v>
      </c>
      <c r="C301" s="4">
        <f>C297</f>
        <v>40.815713924566765</v>
      </c>
      <c r="D301" s="19">
        <v>0</v>
      </c>
      <c r="E301" s="19">
        <v>0</v>
      </c>
      <c r="F301" s="19">
        <v>0</v>
      </c>
      <c r="G301" s="19">
        <v>0</v>
      </c>
    </row>
    <row r="302" spans="1:7">
      <c r="A302" s="55" t="s">
        <v>237</v>
      </c>
      <c r="B302" s="19">
        <v>0</v>
      </c>
      <c r="C302" s="19">
        <v>0</v>
      </c>
      <c r="D302" s="4">
        <f>C297</f>
        <v>40.815713924566765</v>
      </c>
      <c r="E302" s="19">
        <v>0</v>
      </c>
      <c r="F302" s="19">
        <v>0</v>
      </c>
      <c r="G302" s="19">
        <v>0</v>
      </c>
    </row>
    <row r="303" spans="1:7">
      <c r="A303" s="56"/>
      <c r="B303" s="19">
        <v>0</v>
      </c>
      <c r="C303" s="19">
        <v>0</v>
      </c>
      <c r="D303" s="19">
        <v>0</v>
      </c>
      <c r="E303" s="4">
        <f>F283</f>
        <v>105.37716266927622</v>
      </c>
      <c r="F303" s="19">
        <v>0</v>
      </c>
      <c r="G303" s="19">
        <v>0</v>
      </c>
    </row>
    <row r="304" spans="1:7">
      <c r="B304" s="19">
        <v>0</v>
      </c>
      <c r="C304" s="19">
        <v>0</v>
      </c>
      <c r="D304" s="19">
        <v>0</v>
      </c>
      <c r="E304" s="19">
        <v>0</v>
      </c>
      <c r="F304" s="4">
        <f>F289</f>
        <v>347.12305303306823</v>
      </c>
      <c r="G304" s="19">
        <v>0</v>
      </c>
    </row>
    <row r="305" spans="1:7">
      <c r="B305" s="19">
        <v>0</v>
      </c>
      <c r="C305" s="19">
        <v>0</v>
      </c>
      <c r="D305" s="19">
        <v>0</v>
      </c>
      <c r="E305" s="19">
        <v>0</v>
      </c>
      <c r="F305" s="19">
        <v>0</v>
      </c>
      <c r="G305" s="6">
        <f>B41</f>
        <v>839.36497850000001</v>
      </c>
    </row>
    <row r="307" spans="1:7">
      <c r="A307" s="13" t="s">
        <v>238</v>
      </c>
    </row>
    <row r="309" spans="1:7">
      <c r="B309" s="46">
        <f>D80</f>
        <v>9182712.1520368103</v>
      </c>
      <c r="C309" s="46">
        <v>0</v>
      </c>
      <c r="D309" s="46">
        <v>0</v>
      </c>
      <c r="E309" s="46">
        <v>0</v>
      </c>
      <c r="F309" s="46">
        <f>D80*E195</f>
        <v>-7346169.7216294482</v>
      </c>
      <c r="G309" s="46">
        <f>-D80*E194</f>
        <v>-25344285.539621595</v>
      </c>
    </row>
    <row r="310" spans="1:7">
      <c r="B310" s="46">
        <v>0</v>
      </c>
      <c r="C310" s="46">
        <f>D81</f>
        <v>9721522.1456887666</v>
      </c>
      <c r="D310" s="46">
        <v>0</v>
      </c>
      <c r="E310" s="46">
        <f>-D81*F208</f>
        <v>7777217.7165510133</v>
      </c>
      <c r="F310" s="46">
        <v>0</v>
      </c>
      <c r="G310" s="46">
        <f>D81*F207</f>
        <v>55364068.619697519</v>
      </c>
    </row>
    <row r="311" spans="1:7">
      <c r="A311" s="55" t="s">
        <v>242</v>
      </c>
      <c r="B311" s="46">
        <v>0</v>
      </c>
      <c r="C311" s="46">
        <v>0</v>
      </c>
      <c r="D311" s="46">
        <f>C60</f>
        <v>6949142.1048715953</v>
      </c>
      <c r="E311" s="46">
        <f>C60*F171</f>
        <v>19179632.209445603</v>
      </c>
      <c r="F311" s="46">
        <f>-C60*F170</f>
        <v>-39575364.287243739</v>
      </c>
      <c r="G311" s="46">
        <v>0</v>
      </c>
    </row>
    <row r="312" spans="1:7">
      <c r="A312" s="56"/>
      <c r="B312" s="46">
        <v>0</v>
      </c>
      <c r="C312" s="46">
        <f>E310</f>
        <v>7777217.7165510133</v>
      </c>
      <c r="D312" s="46">
        <f>E311</f>
        <v>19179632.209445603</v>
      </c>
      <c r="E312" s="46">
        <f>D91+D81*POWER(F208,2)+C60*POWER(F171,2)</f>
        <v>162972055.66338393</v>
      </c>
      <c r="F312" s="46">
        <f>C60*F170*F171</f>
        <v>109228005.43279271</v>
      </c>
      <c r="G312" s="46">
        <f>-D81*F207*F208</f>
        <v>44291254.895758018</v>
      </c>
    </row>
    <row r="313" spans="1:7">
      <c r="B313" s="46">
        <f>F309</f>
        <v>-7346169.7216294482</v>
      </c>
      <c r="C313" s="46">
        <v>0</v>
      </c>
      <c r="D313" s="46">
        <f>F311</f>
        <v>-39575364.287243739</v>
      </c>
      <c r="E313" s="46">
        <f>F312</f>
        <v>109228005.43279271</v>
      </c>
      <c r="F313" s="46">
        <f>D92+D80*POWER(E195,2)+C60*POWER(F170,2)</f>
        <v>495184107.36624801</v>
      </c>
      <c r="G313" s="46">
        <f>-D80*E194*E195</f>
        <v>20275428.431697279</v>
      </c>
    </row>
    <row r="314" spans="1:7">
      <c r="B314" s="46">
        <f>G309</f>
        <v>-25344285.539621595</v>
      </c>
      <c r="C314" s="46">
        <f>G310</f>
        <v>55364068.619697519</v>
      </c>
      <c r="D314" s="46">
        <v>0</v>
      </c>
      <c r="E314" s="46">
        <f>G312</f>
        <v>44291254.895758018</v>
      </c>
      <c r="F314" s="46">
        <f>G313</f>
        <v>20275428.431697279</v>
      </c>
      <c r="G314" s="46">
        <f>E104+D80*POWER(E194,2)+D81*POWER(F207,2)</f>
        <v>747526368.87730002</v>
      </c>
    </row>
    <row r="316" spans="1:7">
      <c r="B316" s="46">
        <f>B300*POWER($B$47,2)</f>
        <v>354380.18954976881</v>
      </c>
      <c r="C316" s="46">
        <f t="shared" ref="C316:G316" si="6">C300*POWER($B$47,2)</f>
        <v>0</v>
      </c>
      <c r="D316" s="46">
        <f t="shared" si="6"/>
        <v>0</v>
      </c>
      <c r="E316" s="46">
        <f t="shared" si="6"/>
        <v>0</v>
      </c>
      <c r="F316" s="46">
        <f t="shared" si="6"/>
        <v>0</v>
      </c>
      <c r="G316" s="46">
        <f t="shared" si="6"/>
        <v>0</v>
      </c>
    </row>
    <row r="317" spans="1:7">
      <c r="B317" s="46">
        <f t="shared" ref="B317:G321" si="7">B301*POWER($B$47,2)</f>
        <v>0</v>
      </c>
      <c r="C317" s="46">
        <f t="shared" si="7"/>
        <v>354380.18954976881</v>
      </c>
      <c r="D317" s="46">
        <f t="shared" si="7"/>
        <v>0</v>
      </c>
      <c r="E317" s="46">
        <f t="shared" si="7"/>
        <v>0</v>
      </c>
      <c r="F317" s="46">
        <f t="shared" si="7"/>
        <v>0</v>
      </c>
      <c r="G317" s="46">
        <f t="shared" si="7"/>
        <v>0</v>
      </c>
    </row>
    <row r="318" spans="1:7">
      <c r="A318" s="55" t="s">
        <v>240</v>
      </c>
      <c r="B318" s="46">
        <f t="shared" si="7"/>
        <v>0</v>
      </c>
      <c r="C318" s="46">
        <f t="shared" si="7"/>
        <v>0</v>
      </c>
      <c r="D318" s="46">
        <f t="shared" si="7"/>
        <v>354380.18954976881</v>
      </c>
      <c r="E318" s="46">
        <f t="shared" si="7"/>
        <v>0</v>
      </c>
      <c r="F318" s="46">
        <f t="shared" si="7"/>
        <v>0</v>
      </c>
      <c r="G318" s="46">
        <f t="shared" si="7"/>
        <v>0</v>
      </c>
    </row>
    <row r="319" spans="1:7">
      <c r="A319" s="56"/>
      <c r="B319" s="46">
        <f t="shared" si="7"/>
        <v>0</v>
      </c>
      <c r="C319" s="46">
        <f t="shared" si="7"/>
        <v>0</v>
      </c>
      <c r="D319" s="46">
        <f t="shared" si="7"/>
        <v>0</v>
      </c>
      <c r="E319" s="46">
        <f t="shared" si="7"/>
        <v>914931.41465003323</v>
      </c>
      <c r="F319" s="46">
        <f t="shared" si="7"/>
        <v>0</v>
      </c>
      <c r="G319" s="46">
        <f t="shared" si="7"/>
        <v>0</v>
      </c>
    </row>
    <row r="320" spans="1:7">
      <c r="B320" s="46">
        <f t="shared" si="7"/>
        <v>0</v>
      </c>
      <c r="C320" s="46">
        <f t="shared" si="7"/>
        <v>0</v>
      </c>
      <c r="D320" s="46">
        <f t="shared" si="7"/>
        <v>0</v>
      </c>
      <c r="E320" s="46">
        <f t="shared" si="7"/>
        <v>0</v>
      </c>
      <c r="F320" s="46">
        <f t="shared" si="7"/>
        <v>3013876.8014275008</v>
      </c>
      <c r="G320" s="46">
        <f t="shared" si="7"/>
        <v>0</v>
      </c>
    </row>
    <row r="321" spans="1:7">
      <c r="B321" s="46">
        <f t="shared" si="7"/>
        <v>0</v>
      </c>
      <c r="C321" s="46">
        <f t="shared" si="7"/>
        <v>0</v>
      </c>
      <c r="D321" s="46">
        <f t="shared" si="7"/>
        <v>0</v>
      </c>
      <c r="E321" s="46">
        <f t="shared" si="7"/>
        <v>0</v>
      </c>
      <c r="F321" s="46">
        <f t="shared" si="7"/>
        <v>0</v>
      </c>
      <c r="G321" s="46">
        <f t="shared" si="7"/>
        <v>7287740.2250516908</v>
      </c>
    </row>
    <row r="323" spans="1:7">
      <c r="B323" s="46">
        <f t="shared" ref="B323:G328" si="8">B309-B316</f>
        <v>8828331.962487042</v>
      </c>
      <c r="C323" s="46">
        <f t="shared" si="8"/>
        <v>0</v>
      </c>
      <c r="D323" s="46">
        <f t="shared" si="8"/>
        <v>0</v>
      </c>
      <c r="E323" s="46">
        <f t="shared" si="8"/>
        <v>0</v>
      </c>
      <c r="F323" s="46">
        <f t="shared" si="8"/>
        <v>-7346169.7216294482</v>
      </c>
      <c r="G323" s="46">
        <f t="shared" si="8"/>
        <v>-25344285.539621595</v>
      </c>
    </row>
    <row r="324" spans="1:7">
      <c r="B324" s="46">
        <f t="shared" si="8"/>
        <v>0</v>
      </c>
      <c r="C324" s="46">
        <f t="shared" si="8"/>
        <v>9367141.9561389983</v>
      </c>
      <c r="D324" s="46">
        <f t="shared" si="8"/>
        <v>0</v>
      </c>
      <c r="E324" s="46">
        <f t="shared" si="8"/>
        <v>7777217.7165510133</v>
      </c>
      <c r="F324" s="46">
        <f t="shared" si="8"/>
        <v>0</v>
      </c>
      <c r="G324" s="46">
        <f t="shared" si="8"/>
        <v>55364068.619697519</v>
      </c>
    </row>
    <row r="325" spans="1:7">
      <c r="A325" s="55" t="s">
        <v>241</v>
      </c>
      <c r="B325" s="46">
        <f t="shared" si="8"/>
        <v>0</v>
      </c>
      <c r="C325" s="46">
        <f t="shared" si="8"/>
        <v>0</v>
      </c>
      <c r="D325" s="46">
        <f t="shared" si="8"/>
        <v>6594761.9153218269</v>
      </c>
      <c r="E325" s="46">
        <f t="shared" si="8"/>
        <v>19179632.209445603</v>
      </c>
      <c r="F325" s="46">
        <f t="shared" si="8"/>
        <v>-39575364.287243739</v>
      </c>
      <c r="G325" s="46">
        <f t="shared" si="8"/>
        <v>0</v>
      </c>
    </row>
    <row r="326" spans="1:7">
      <c r="A326" s="56"/>
      <c r="B326" s="46">
        <f t="shared" si="8"/>
        <v>0</v>
      </c>
      <c r="C326" s="46">
        <f t="shared" si="8"/>
        <v>7777217.7165510133</v>
      </c>
      <c r="D326" s="46">
        <f t="shared" si="8"/>
        <v>19179632.209445603</v>
      </c>
      <c r="E326" s="46">
        <f t="shared" si="8"/>
        <v>162057124.24873391</v>
      </c>
      <c r="F326" s="46">
        <f t="shared" si="8"/>
        <v>109228005.43279271</v>
      </c>
      <c r="G326" s="46">
        <f t="shared" si="8"/>
        <v>44291254.895758018</v>
      </c>
    </row>
    <row r="327" spans="1:7">
      <c r="B327" s="46">
        <f t="shared" si="8"/>
        <v>-7346169.7216294482</v>
      </c>
      <c r="C327" s="46">
        <f t="shared" si="8"/>
        <v>0</v>
      </c>
      <c r="D327" s="46">
        <f t="shared" si="8"/>
        <v>-39575364.287243739</v>
      </c>
      <c r="E327" s="46">
        <f t="shared" si="8"/>
        <v>109228005.43279271</v>
      </c>
      <c r="F327" s="46">
        <f t="shared" si="8"/>
        <v>492170230.56482053</v>
      </c>
      <c r="G327" s="46">
        <f t="shared" si="8"/>
        <v>20275428.431697279</v>
      </c>
    </row>
    <row r="328" spans="1:7">
      <c r="B328" s="46">
        <f t="shared" si="8"/>
        <v>-25344285.539621595</v>
      </c>
      <c r="C328" s="46">
        <f t="shared" si="8"/>
        <v>55364068.619697519</v>
      </c>
      <c r="D328" s="46">
        <f t="shared" si="8"/>
        <v>0</v>
      </c>
      <c r="E328" s="46">
        <f t="shared" si="8"/>
        <v>44291254.895758018</v>
      </c>
      <c r="F328" s="46">
        <f t="shared" si="8"/>
        <v>20275428.431697279</v>
      </c>
      <c r="G328" s="46">
        <f t="shared" si="8"/>
        <v>740238628.65224838</v>
      </c>
    </row>
    <row r="329" spans="1:7">
      <c r="B329" s="4"/>
      <c r="C329" s="4"/>
      <c r="D329" s="4"/>
      <c r="E329" s="4"/>
      <c r="F329" s="4"/>
      <c r="G329" s="4"/>
    </row>
    <row r="330" spans="1:7">
      <c r="B330" s="51">
        <f t="array" ref="B330:G335">MINVERSE(B323:G328)</f>
        <v>1.3494580170339296E-7</v>
      </c>
      <c r="C330" s="51">
        <v>-5.6044550906325107E-8</v>
      </c>
      <c r="D330" s="51">
        <v>-4.0007404951429968E-8</v>
      </c>
      <c r="E330" s="51">
        <v>7.2395672546660133E-9</v>
      </c>
      <c r="F330" s="51">
        <v>-3.1582039851189742E-9</v>
      </c>
      <c r="G330" s="51">
        <v>8.4653022290292737E-9</v>
      </c>
    </row>
    <row r="331" spans="1:7">
      <c r="B331" s="51">
        <v>-5.6044550906325093E-8</v>
      </c>
      <c r="C331" s="51">
        <v>2.0244221457811874E-7</v>
      </c>
      <c r="D331" s="51">
        <v>-6.9006094507812477E-8</v>
      </c>
      <c r="E331" s="51">
        <v>8.248916658844234E-9</v>
      </c>
      <c r="F331" s="51">
        <v>-7.5013226457629376E-9</v>
      </c>
      <c r="G331" s="51">
        <v>-1.7348049133589014E-8</v>
      </c>
    </row>
    <row r="332" spans="1:7" ht="14.25">
      <c r="A332" s="29" t="s">
        <v>261</v>
      </c>
      <c r="B332" s="51">
        <v>-4.0007404951429955E-8</v>
      </c>
      <c r="C332" s="51">
        <v>-6.9006094507812477E-8</v>
      </c>
      <c r="D332" s="51">
        <v>-3.7860915501421833E-7</v>
      </c>
      <c r="E332" s="51">
        <v>8.1105171138049955E-8</v>
      </c>
      <c r="F332" s="51">
        <v>-4.9052482991135244E-8</v>
      </c>
      <c r="G332" s="51">
        <v>2.8208384253614953E-10</v>
      </c>
    </row>
    <row r="333" spans="1:7">
      <c r="B333" s="51">
        <v>7.2395672546660117E-9</v>
      </c>
      <c r="C333" s="51">
        <v>8.2489166588442307E-9</v>
      </c>
      <c r="D333" s="51">
        <v>8.1105171138049942E-8</v>
      </c>
      <c r="E333" s="51">
        <v>-9.7434216940852719E-9</v>
      </c>
      <c r="F333" s="51">
        <v>8.7931988869891556E-9</v>
      </c>
      <c r="G333" s="51">
        <v>-2.6949997460183852E-11</v>
      </c>
    </row>
    <row r="334" spans="1:7">
      <c r="B334" s="51">
        <v>-3.1582039851189738E-9</v>
      </c>
      <c r="C334" s="51">
        <v>-7.501322645762936E-9</v>
      </c>
      <c r="D334" s="51">
        <v>-4.9052482991135244E-8</v>
      </c>
      <c r="E334" s="51">
        <v>8.7931988869891556E-9</v>
      </c>
      <c r="F334" s="51">
        <v>-3.9125129704709015E-9</v>
      </c>
      <c r="G334" s="51">
        <v>3.394497477275851E-11</v>
      </c>
    </row>
    <row r="335" spans="1:7">
      <c r="B335" s="51">
        <v>8.4653022290292638E-9</v>
      </c>
      <c r="C335" s="51">
        <v>-1.734804913358901E-8</v>
      </c>
      <c r="D335" s="51">
        <v>2.8208384253614756E-10</v>
      </c>
      <c r="E335" s="51">
        <v>-2.6949997460183622E-11</v>
      </c>
      <c r="F335" s="51">
        <v>3.3944974772758342E-11</v>
      </c>
      <c r="G335" s="51">
        <v>2.9389320357178571E-9</v>
      </c>
    </row>
    <row r="336" spans="1:7">
      <c r="B336" s="4"/>
      <c r="C336" s="4"/>
      <c r="D336" s="4"/>
      <c r="E336" s="4"/>
      <c r="F336" s="4"/>
      <c r="G336" s="4"/>
    </row>
    <row r="337" spans="1:7">
      <c r="A337" s="13" t="s">
        <v>244</v>
      </c>
    </row>
    <row r="338" spans="1:7">
      <c r="A338" s="14" t="s">
        <v>245</v>
      </c>
      <c r="B338" s="54">
        <f t="array" ref="B338:B343">MMULT(B330:G335,B271:B276)</f>
        <v>-3.4705487590644285E-8</v>
      </c>
      <c r="C338" s="13" t="s">
        <v>251</v>
      </c>
      <c r="D338" s="52">
        <f>B338*100000/2.54</f>
        <v>-1.3663577791592238E-3</v>
      </c>
      <c r="E338" s="13" t="s">
        <v>257</v>
      </c>
      <c r="F338" s="50">
        <f>D338/1000</f>
        <v>-1.3663577791592238E-6</v>
      </c>
      <c r="G338" s="13" t="s">
        <v>258</v>
      </c>
    </row>
    <row r="339" spans="1:7">
      <c r="A339" s="14" t="s">
        <v>260</v>
      </c>
      <c r="B339" s="54">
        <v>4.8213131819010624E-8</v>
      </c>
      <c r="C339" s="13" t="s">
        <v>251</v>
      </c>
      <c r="D339" s="52">
        <f t="shared" ref="D339:D340" si="9">B339*100000/2.54</f>
        <v>1.8981547960240403E-3</v>
      </c>
      <c r="E339" s="13" t="s">
        <v>257</v>
      </c>
      <c r="F339" s="50">
        <f>D339/1000</f>
        <v>1.8981547960240403E-6</v>
      </c>
      <c r="G339" s="13" t="s">
        <v>258</v>
      </c>
    </row>
    <row r="340" spans="1:7">
      <c r="A340" s="14" t="s">
        <v>246</v>
      </c>
      <c r="B340" s="54">
        <v>-1.6173231819116297E-7</v>
      </c>
      <c r="C340" s="13" t="s">
        <v>251</v>
      </c>
      <c r="D340" s="52">
        <f t="shared" si="9"/>
        <v>-6.3674141020142912E-3</v>
      </c>
      <c r="E340" s="13" t="s">
        <v>257</v>
      </c>
      <c r="F340" s="50">
        <f>D340/1000</f>
        <v>-6.3674141020142911E-6</v>
      </c>
      <c r="G340" s="13" t="s">
        <v>258</v>
      </c>
    </row>
    <row r="341" spans="1:7" ht="15.75">
      <c r="A341" s="14" t="s">
        <v>247</v>
      </c>
      <c r="B341" s="53">
        <v>3.2285414258517414E-8</v>
      </c>
      <c r="C341" s="13" t="s">
        <v>250</v>
      </c>
      <c r="D341" s="53">
        <f>DEGREES(B341)</f>
        <v>1.8498179768445381E-6</v>
      </c>
      <c r="E341" s="13" t="s">
        <v>252</v>
      </c>
      <c r="F341" s="14" t="s">
        <v>253</v>
      </c>
      <c r="G341">
        <f>SIN(B341)</f>
        <v>3.2285414258517407E-8</v>
      </c>
    </row>
    <row r="342" spans="1:7" ht="15.75">
      <c r="A342" s="14" t="s">
        <v>248</v>
      </c>
      <c r="B342" s="53">
        <v>-2.0434018049999043E-8</v>
      </c>
      <c r="C342" s="13" t="s">
        <v>250</v>
      </c>
      <c r="D342" s="53">
        <f t="shared" ref="D342:D343" si="10">DEGREES(B342)</f>
        <v>-1.1707829927590895E-6</v>
      </c>
      <c r="E342" s="13" t="s">
        <v>252</v>
      </c>
      <c r="F342" s="14" t="s">
        <v>253</v>
      </c>
      <c r="G342">
        <f t="shared" ref="G342:G343" si="11">SIN(B342)</f>
        <v>-2.0434018049999043E-8</v>
      </c>
    </row>
    <row r="343" spans="1:7" ht="15.75">
      <c r="A343" s="14" t="s">
        <v>249</v>
      </c>
      <c r="B343" s="53">
        <v>-6.1662736728455837E-9</v>
      </c>
      <c r="C343" s="13" t="s">
        <v>250</v>
      </c>
      <c r="D343" s="53">
        <f t="shared" si="10"/>
        <v>-3.5330145677668486E-7</v>
      </c>
      <c r="E343" s="13" t="s">
        <v>252</v>
      </c>
      <c r="F343" s="14" t="s">
        <v>253</v>
      </c>
      <c r="G343">
        <f t="shared" si="11"/>
        <v>-6.1662736728455837E-9</v>
      </c>
    </row>
    <row r="344" spans="1:7">
      <c r="A344" s="20"/>
    </row>
    <row r="345" spans="1:7">
      <c r="A345" s="14"/>
      <c r="B345" s="48"/>
      <c r="C345" s="13"/>
      <c r="D345" s="49"/>
      <c r="E345" s="13"/>
      <c r="F345" s="50"/>
      <c r="G345" s="13"/>
    </row>
    <row r="346" spans="1:7">
      <c r="A346" s="14"/>
      <c r="B346" s="48"/>
      <c r="C346" s="13"/>
      <c r="D346" s="49">
        <f>'Análisis ok'!D340-'Análisis ok 3G'!D340</f>
        <v>-7.8195083248763439E-3</v>
      </c>
      <c r="E346" s="13"/>
      <c r="F346" s="50"/>
      <c r="G346" s="13"/>
    </row>
    <row r="347" spans="1:7">
      <c r="A347" s="14"/>
      <c r="B347" s="48"/>
      <c r="C347" s="13"/>
      <c r="D347" s="49"/>
      <c r="E347" s="13"/>
      <c r="F347" s="50"/>
      <c r="G347" s="13"/>
    </row>
    <row r="348" spans="1:7">
      <c r="A348" s="14"/>
      <c r="B348" s="48"/>
      <c r="C348" s="13"/>
      <c r="E348" s="13"/>
      <c r="F348" s="14"/>
    </row>
    <row r="349" spans="1:7">
      <c r="A349" s="14"/>
      <c r="B349" s="48"/>
      <c r="C349" s="13"/>
      <c r="E349" s="13"/>
      <c r="F349" s="14"/>
    </row>
    <row r="350" spans="1:7">
      <c r="A350" s="14"/>
      <c r="B350" s="48"/>
      <c r="C350" s="13"/>
      <c r="E350" s="13"/>
      <c r="F350" s="14"/>
    </row>
  </sheetData>
  <mergeCells count="6">
    <mergeCell ref="A325:A326"/>
    <mergeCell ref="A2:G3"/>
    <mergeCell ref="A273:A274"/>
    <mergeCell ref="A302:A303"/>
    <mergeCell ref="A311:A312"/>
    <mergeCell ref="A318:A319"/>
  </mergeCells>
  <pageMargins left="0.98425196850393704" right="0.74803149606299213" top="0.98425196850393704" bottom="0.78740157480314965" header="0.39370078740157483" footer="0.39370078740157483"/>
  <pageSetup scale="98" orientation="portrait" horizontalDpi="4294967293" r:id="rId1"/>
  <headerFooter alignWithMargins="0">
    <oddHeader>&amp;CTesis de Maestría</oddHeader>
    <oddFooter>&amp;CIng Ulises Talonia Vargas</oddFooter>
  </headerFooter>
  <rowBreaks count="5" manualBreakCount="5">
    <brk id="48" max="16383" man="1"/>
    <brk id="93" max="6" man="1"/>
    <brk id="142" max="6" man="1"/>
    <brk id="190" max="6" man="1"/>
    <brk id="237" max="6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2:H350"/>
  <sheetViews>
    <sheetView topLeftCell="A37" zoomScaleSheetLayoutView="100" workbookViewId="0">
      <selection activeCell="F53" sqref="F53"/>
    </sheetView>
  </sheetViews>
  <sheetFormatPr baseColWidth="10" defaultRowHeight="12.75"/>
  <cols>
    <col min="1" max="1" width="8.7109375" customWidth="1"/>
    <col min="2" max="2" width="12.7109375" customWidth="1"/>
    <col min="3" max="3" width="13.7109375" customWidth="1"/>
    <col min="4" max="4" width="12.7109375" customWidth="1"/>
    <col min="5" max="5" width="12.7109375" bestFit="1" customWidth="1"/>
    <col min="6" max="6" width="14.42578125" customWidth="1"/>
    <col min="7" max="7" width="12.42578125" customWidth="1"/>
    <col min="9" max="9" width="13" bestFit="1" customWidth="1"/>
  </cols>
  <sheetData>
    <row r="2" spans="1:7" ht="18" customHeight="1">
      <c r="A2" s="57" t="s">
        <v>0</v>
      </c>
      <c r="B2" s="58"/>
      <c r="C2" s="58"/>
      <c r="D2" s="58"/>
      <c r="E2" s="58"/>
      <c r="F2" s="58"/>
      <c r="G2" s="58"/>
    </row>
    <row r="3" spans="1:7" ht="18" customHeight="1">
      <c r="A3" s="58"/>
      <c r="B3" s="58"/>
      <c r="C3" s="58"/>
      <c r="D3" s="58"/>
      <c r="E3" s="58"/>
      <c r="F3" s="58"/>
      <c r="G3" s="58"/>
    </row>
    <row r="5" spans="1:7">
      <c r="A5" t="s">
        <v>1</v>
      </c>
    </row>
    <row r="33" spans="1:8" ht="13.5" thickBot="1">
      <c r="A33" s="21"/>
      <c r="B33" s="39" t="s">
        <v>106</v>
      </c>
      <c r="C33" s="21"/>
      <c r="D33" s="21"/>
      <c r="E33" s="21"/>
      <c r="F33" s="21"/>
      <c r="G33" s="21"/>
    </row>
    <row r="35" spans="1:8">
      <c r="A35" s="2" t="s">
        <v>2</v>
      </c>
      <c r="B35" s="40">
        <v>5.52</v>
      </c>
      <c r="C35" s="2" t="s">
        <v>3</v>
      </c>
      <c r="D35" s="40">
        <v>11.39</v>
      </c>
      <c r="E35" s="2" t="s">
        <v>17</v>
      </c>
      <c r="F35" s="40">
        <v>1.6</v>
      </c>
    </row>
    <row r="36" spans="1:8">
      <c r="A36" s="2" t="s">
        <v>33</v>
      </c>
      <c r="B36" s="40">
        <v>1.6</v>
      </c>
      <c r="C36" s="2" t="s">
        <v>20</v>
      </c>
      <c r="D36" s="36">
        <f>B35/2</f>
        <v>2.76</v>
      </c>
      <c r="E36" s="2" t="s">
        <v>21</v>
      </c>
      <c r="F36" s="36">
        <f>D35/2</f>
        <v>5.6950000000000003</v>
      </c>
    </row>
    <row r="37" spans="1:8">
      <c r="A37" s="2" t="s">
        <v>35</v>
      </c>
      <c r="B37" s="6">
        <f>B35/D35</f>
        <v>0.48463564530289721</v>
      </c>
      <c r="C37" s="2" t="s">
        <v>36</v>
      </c>
      <c r="D37" s="6">
        <f>F35/D36</f>
        <v>0.57971014492753636</v>
      </c>
      <c r="E37" s="16" t="s">
        <v>51</v>
      </c>
      <c r="F37" s="6">
        <f>B36/D36</f>
        <v>0.57971014492753636</v>
      </c>
    </row>
    <row r="38" spans="1:8">
      <c r="A38" s="2" t="s">
        <v>37</v>
      </c>
      <c r="B38" s="6">
        <f>F36/D36</f>
        <v>2.0634057971014497</v>
      </c>
      <c r="C38" s="16" t="s">
        <v>52</v>
      </c>
      <c r="D38" s="6">
        <f>B36/F36</f>
        <v>0.28094820017559263</v>
      </c>
      <c r="E38" s="14" t="s">
        <v>53</v>
      </c>
      <c r="F38" s="6">
        <f>F35/B36</f>
        <v>1</v>
      </c>
    </row>
    <row r="39" spans="1:8" ht="15.75">
      <c r="A39" s="2" t="s">
        <v>19</v>
      </c>
      <c r="B39" s="41">
        <f>B35*D35</f>
        <v>62.872799999999998</v>
      </c>
      <c r="C39" s="2" t="s">
        <v>18</v>
      </c>
      <c r="D39" s="41">
        <f>2*(D35+B35)*B36</f>
        <v>54.112000000000002</v>
      </c>
      <c r="E39" s="2" t="s">
        <v>27</v>
      </c>
      <c r="F39" s="6">
        <f>B39/(D35*D35)</f>
        <v>0.48463564530289727</v>
      </c>
    </row>
    <row r="40" spans="1:8" ht="15.75">
      <c r="A40" s="14" t="s">
        <v>45</v>
      </c>
      <c r="B40" s="6">
        <f>D35*POWER(B35,3)/12</f>
        <v>159.64661375999998</v>
      </c>
      <c r="C40" s="13" t="s">
        <v>47</v>
      </c>
      <c r="D40" s="14" t="s">
        <v>46</v>
      </c>
      <c r="E40" s="6">
        <f>B35*POWER(D35,3)/12</f>
        <v>679.71836473999997</v>
      </c>
      <c r="F40" s="13" t="s">
        <v>47</v>
      </c>
    </row>
    <row r="41" spans="1:8" ht="15.75">
      <c r="A41" s="14" t="s">
        <v>98</v>
      </c>
      <c r="B41" s="6">
        <f>B40+E40</f>
        <v>839.36497850000001</v>
      </c>
      <c r="C41" s="13" t="s">
        <v>47</v>
      </c>
      <c r="D41" s="13" t="s">
        <v>227</v>
      </c>
      <c r="E41" s="36">
        <v>1.9</v>
      </c>
    </row>
    <row r="42" spans="1:8" ht="15.75">
      <c r="A42" s="16" t="s">
        <v>99</v>
      </c>
      <c r="B42" s="40">
        <v>14.5</v>
      </c>
      <c r="C42" s="5" t="s">
        <v>7</v>
      </c>
      <c r="D42" s="3">
        <v>0.25</v>
      </c>
      <c r="E42" s="2" t="s">
        <v>8</v>
      </c>
      <c r="F42" s="3">
        <v>1690.15</v>
      </c>
      <c r="G42" t="s">
        <v>9</v>
      </c>
    </row>
    <row r="43" spans="1:8" ht="14.25">
      <c r="A43" s="5" t="s">
        <v>12</v>
      </c>
      <c r="B43" s="3">
        <v>1.94</v>
      </c>
      <c r="C43" t="s">
        <v>13</v>
      </c>
      <c r="D43" s="5" t="s">
        <v>10</v>
      </c>
      <c r="E43" s="7">
        <f>B43/9.81</f>
        <v>0.19775739041794085</v>
      </c>
      <c r="F43" t="s">
        <v>14</v>
      </c>
    </row>
    <row r="44" spans="1:8">
      <c r="A44" s="5" t="s">
        <v>107</v>
      </c>
      <c r="B44" s="24">
        <v>0.03</v>
      </c>
      <c r="C44" s="13"/>
      <c r="D44" s="2" t="s">
        <v>6</v>
      </c>
      <c r="E44" s="1">
        <f>E43*F42*F42</f>
        <v>564915.15021916409</v>
      </c>
      <c r="F44" t="s">
        <v>11</v>
      </c>
      <c r="H44">
        <f>'Análisis ok'!E44*6</f>
        <v>564913.76146788977</v>
      </c>
    </row>
    <row r="45" spans="1:8">
      <c r="A45" t="s">
        <v>23</v>
      </c>
      <c r="D45" s="3">
        <v>14.83</v>
      </c>
      <c r="E45" t="s">
        <v>24</v>
      </c>
    </row>
    <row r="46" spans="1:8" ht="15.75">
      <c r="A46" s="2" t="s">
        <v>97</v>
      </c>
      <c r="B46" s="4">
        <f>F42/(4*B42)</f>
        <v>29.14051724137931</v>
      </c>
      <c r="C46" s="13" t="s">
        <v>24</v>
      </c>
      <c r="E46" s="13"/>
      <c r="F46" s="2" t="s">
        <v>272</v>
      </c>
      <c r="G46" s="7">
        <f>B47*D36/F42</f>
        <v>0.15216152481797837</v>
      </c>
      <c r="H46">
        <f>SQRT(H44/E43)</f>
        <v>1690.1479225203927</v>
      </c>
    </row>
    <row r="47" spans="1:8">
      <c r="A47" s="5" t="s">
        <v>22</v>
      </c>
      <c r="B47" s="6">
        <f>2*PI()*D45</f>
        <v>93.179638105473259</v>
      </c>
      <c r="C47" s="13" t="s">
        <v>254</v>
      </c>
    </row>
    <row r="48" spans="1:8" ht="13.5" thickBot="1">
      <c r="A48" s="21"/>
      <c r="B48" s="21"/>
      <c r="C48" s="21"/>
      <c r="D48" s="21"/>
      <c r="E48" s="22"/>
      <c r="F48" s="23"/>
      <c r="G48" s="21"/>
    </row>
    <row r="49" spans="1:7" ht="15">
      <c r="A49" s="12" t="s">
        <v>42</v>
      </c>
      <c r="B49" s="6"/>
      <c r="D49" s="2"/>
      <c r="E49" s="1"/>
    </row>
    <row r="50" spans="1:7">
      <c r="A50" s="10" t="s">
        <v>4</v>
      </c>
      <c r="B50" s="6"/>
      <c r="D50" s="2"/>
      <c r="E50" s="1"/>
    </row>
    <row r="51" spans="1:7" ht="15.75">
      <c r="A51" s="2" t="s">
        <v>5</v>
      </c>
      <c r="B51" s="6">
        <f>IF(F39&lt;0.02,0.8,0.73+1.54*POWER(F39,0.75))</f>
        <v>1.6245038951814859</v>
      </c>
    </row>
    <row r="52" spans="1:7" ht="14.25">
      <c r="A52" s="8" t="s">
        <v>40</v>
      </c>
      <c r="B52" s="9">
        <f>D35*E44*B51/(1-D42)</f>
        <v>13936908.210573567</v>
      </c>
      <c r="C52" s="10" t="s">
        <v>15</v>
      </c>
      <c r="D52" t="s">
        <v>16</v>
      </c>
    </row>
    <row r="53" spans="1:7" ht="14.25">
      <c r="A53" s="8" t="s">
        <v>25</v>
      </c>
      <c r="B53" s="9">
        <f>B52*(1+(F35/(21*D36))*(1+4*B39/(12*F36*F36))*(1+0.19*POWER((D39/B39),2/3)))</f>
        <v>14679125.01061566</v>
      </c>
      <c r="C53" s="10" t="s">
        <v>15</v>
      </c>
      <c r="D53" t="s">
        <v>34</v>
      </c>
    </row>
    <row r="54" spans="1:7" ht="14.25">
      <c r="A54" s="8" t="s">
        <v>141</v>
      </c>
      <c r="B54" s="31">
        <f>B52*(1+(F35/(21*D36))*(1+4*B39/(12*F36*F36)))</f>
        <v>14570246.279571543</v>
      </c>
      <c r="C54" s="13" t="s">
        <v>15</v>
      </c>
      <c r="D54" s="10"/>
    </row>
    <row r="55" spans="1:7" ht="14.25">
      <c r="A55" s="8" t="s">
        <v>133</v>
      </c>
      <c r="B55" s="31">
        <f>B53-B54</f>
        <v>108878.73104411736</v>
      </c>
      <c r="C55" s="13" t="s">
        <v>15</v>
      </c>
    </row>
    <row r="56" spans="1:7" ht="14.25">
      <c r="A56" s="8" t="s">
        <v>134</v>
      </c>
      <c r="B56" s="1">
        <f>B55/D39</f>
        <v>2012.0995535947177</v>
      </c>
      <c r="C56" s="13" t="s">
        <v>135</v>
      </c>
    </row>
    <row r="57" spans="1:7" ht="14.25">
      <c r="A57" s="11" t="s">
        <v>41</v>
      </c>
      <c r="B57" s="10"/>
      <c r="C57" s="10"/>
      <c r="E57" s="8" t="s">
        <v>40</v>
      </c>
      <c r="F57" s="9">
        <f>B58*B52</f>
        <v>13936908.210573567</v>
      </c>
      <c r="G57" s="10" t="s">
        <v>15</v>
      </c>
    </row>
    <row r="58" spans="1:7" ht="14.25">
      <c r="A58" s="8" t="s">
        <v>40</v>
      </c>
      <c r="B58" s="3">
        <v>1</v>
      </c>
      <c r="E58" s="8" t="s">
        <v>25</v>
      </c>
      <c r="F58" s="9">
        <f>B52*(1-0.09*POWER((F35/D36),0.75)*POWER(G46,2))</f>
        <v>13917614.008262623</v>
      </c>
      <c r="G58" s="10" t="s">
        <v>15</v>
      </c>
    </row>
    <row r="59" spans="1:7">
      <c r="E59" s="8"/>
      <c r="F59" s="9"/>
      <c r="G59" s="10"/>
    </row>
    <row r="60" spans="1:7" ht="15">
      <c r="B60" s="26" t="s">
        <v>108</v>
      </c>
      <c r="C60" s="27">
        <f>F58-B47*B113*B44</f>
        <v>13917614.008262623</v>
      </c>
      <c r="D60" s="25" t="s">
        <v>15</v>
      </c>
      <c r="E60" s="8"/>
      <c r="F60" s="9"/>
      <c r="G60" s="10"/>
    </row>
    <row r="61" spans="1:7" s="15" customFormat="1" ht="13.5" thickBot="1"/>
    <row r="62" spans="1:7">
      <c r="B62" s="10" t="s">
        <v>28</v>
      </c>
    </row>
    <row r="63" spans="1:7" ht="15.75">
      <c r="B63" s="2" t="s">
        <v>26</v>
      </c>
      <c r="C63" s="6">
        <f>IF(F39&lt;0.16,2.24,4.5*POWER(F39,0.38))</f>
        <v>3.4171996102899405</v>
      </c>
      <c r="E63" s="8" t="s">
        <v>29</v>
      </c>
      <c r="F63" s="9">
        <f>D35*E44*C63/(2-D42)</f>
        <v>12564327.426909992</v>
      </c>
      <c r="G63" s="10" t="s">
        <v>15</v>
      </c>
    </row>
    <row r="64" spans="1:7" ht="14.25">
      <c r="B64" s="8" t="s">
        <v>143</v>
      </c>
      <c r="C64" s="31">
        <f>F65-F64</f>
        <v>5443819.2123358417</v>
      </c>
      <c r="D64" s="10" t="s">
        <v>15</v>
      </c>
      <c r="E64" s="8" t="s">
        <v>142</v>
      </c>
      <c r="F64" s="31">
        <f>F63*(1+0.15*SQRT(D37))</f>
        <v>13999274.738579912</v>
      </c>
      <c r="G64" s="10" t="s">
        <v>15</v>
      </c>
    </row>
    <row r="65" spans="1:7" ht="14.25">
      <c r="B65" s="8"/>
      <c r="C65" s="31"/>
      <c r="D65" s="10"/>
      <c r="E65" s="8" t="s">
        <v>32</v>
      </c>
      <c r="F65" s="28">
        <f>F63*(1+0.15*SQRT(D37))*(1+0.52*POWER((F35-0.5*B36)*D39/(D36*POWER(F36,2)),0.4))</f>
        <v>19443093.950915754</v>
      </c>
      <c r="G65" s="10" t="s">
        <v>15</v>
      </c>
    </row>
    <row r="66" spans="1:7">
      <c r="B66" s="10" t="s">
        <v>30</v>
      </c>
    </row>
    <row r="67" spans="1:7" ht="14.25">
      <c r="E67" s="8" t="s">
        <v>31</v>
      </c>
      <c r="F67" s="9">
        <f>F63-(0.21*F36*E44*(1-B37)/(0.75-D42))</f>
        <v>11867956.521234829</v>
      </c>
      <c r="G67" s="10" t="s">
        <v>15</v>
      </c>
    </row>
    <row r="68" spans="1:7" ht="14.25">
      <c r="B68" s="8" t="s">
        <v>144</v>
      </c>
      <c r="C68" s="31">
        <f>F69-F68</f>
        <v>5142098.5402760822</v>
      </c>
      <c r="D68" s="10" t="s">
        <v>15</v>
      </c>
      <c r="E68" s="8" t="s">
        <v>145</v>
      </c>
      <c r="F68" s="31">
        <f>F67*(1+0.15*SQRT(D37))</f>
        <v>13223372.670983298</v>
      </c>
      <c r="G68" s="10" t="s">
        <v>15</v>
      </c>
    </row>
    <row r="69" spans="1:7" ht="14.25">
      <c r="B69" s="8"/>
      <c r="C69" s="31"/>
      <c r="D69" s="10"/>
      <c r="E69" s="8" t="s">
        <v>38</v>
      </c>
      <c r="F69" s="28">
        <f>F67*(1+0.15*SQRT(D37))*(1+0.52*POWER((F35-0.5*B36)*D39/(D36*POWER(F36,2)),0.4))</f>
        <v>18365471.21125938</v>
      </c>
      <c r="G69" s="10" t="s">
        <v>15</v>
      </c>
    </row>
    <row r="71" spans="1:7">
      <c r="A71" s="13" t="s">
        <v>208</v>
      </c>
    </row>
    <row r="72" spans="1:7">
      <c r="A72" s="13" t="s">
        <v>209</v>
      </c>
    </row>
    <row r="73" spans="1:7" ht="14.25">
      <c r="B73" s="8" t="s">
        <v>31</v>
      </c>
      <c r="C73" s="3">
        <v>1</v>
      </c>
      <c r="D73" s="8" t="s">
        <v>38</v>
      </c>
      <c r="E73" s="3">
        <v>1</v>
      </c>
    </row>
    <row r="74" spans="1:7" ht="14.25">
      <c r="B74" s="8" t="s">
        <v>29</v>
      </c>
      <c r="C74" s="3">
        <v>1.02</v>
      </c>
      <c r="D74" s="8" t="s">
        <v>32</v>
      </c>
      <c r="E74" s="3">
        <v>1</v>
      </c>
    </row>
    <row r="75" spans="1:7">
      <c r="B75" s="10" t="s">
        <v>39</v>
      </c>
    </row>
    <row r="76" spans="1:7">
      <c r="G76" s="9"/>
    </row>
    <row r="77" spans="1:7" ht="14.25">
      <c r="B77" s="8" t="s">
        <v>31</v>
      </c>
      <c r="C77" s="9">
        <f>F67*C73</f>
        <v>11867956.521234829</v>
      </c>
      <c r="D77" s="10" t="s">
        <v>15</v>
      </c>
      <c r="E77" s="8" t="s">
        <v>38</v>
      </c>
      <c r="F77" s="9">
        <f>F69*E73</f>
        <v>18365471.21125938</v>
      </c>
      <c r="G77" s="10" t="s">
        <v>15</v>
      </c>
    </row>
    <row r="78" spans="1:7" ht="14.25">
      <c r="B78" s="8" t="s">
        <v>29</v>
      </c>
      <c r="C78" s="9">
        <f>F63*C74</f>
        <v>12815613.975448193</v>
      </c>
      <c r="D78" s="10" t="s">
        <v>15</v>
      </c>
      <c r="E78" s="8" t="s">
        <v>32</v>
      </c>
      <c r="F78" s="9">
        <f>F65*E74</f>
        <v>19443093.950915754</v>
      </c>
      <c r="G78" s="10" t="s">
        <v>15</v>
      </c>
    </row>
    <row r="79" spans="1:7">
      <c r="B79" s="8"/>
      <c r="C79" s="9"/>
      <c r="D79" s="10"/>
      <c r="E79" s="8"/>
      <c r="F79" s="9"/>
      <c r="G79" s="10"/>
    </row>
    <row r="80" spans="1:7" ht="15">
      <c r="B80" s="8"/>
      <c r="C80" s="26" t="s">
        <v>110</v>
      </c>
      <c r="D80" s="27">
        <f>F77-B47*B121*B44</f>
        <v>18365471.21125938</v>
      </c>
      <c r="E80" s="25" t="s">
        <v>15</v>
      </c>
      <c r="F80" s="9"/>
      <c r="G80" s="10"/>
    </row>
    <row r="81" spans="1:7" ht="15">
      <c r="B81" s="8"/>
      <c r="C81" s="26" t="s">
        <v>109</v>
      </c>
      <c r="D81" s="27">
        <f>F78-B47*B122*B44</f>
        <v>19443093.950915754</v>
      </c>
      <c r="E81" s="25" t="s">
        <v>15</v>
      </c>
      <c r="F81" s="9"/>
      <c r="G81" s="10"/>
    </row>
    <row r="82" spans="1:7" ht="13.5" thickBot="1">
      <c r="A82" s="15"/>
      <c r="B82" s="15"/>
      <c r="C82" s="15"/>
      <c r="D82" s="15"/>
      <c r="E82" s="15"/>
      <c r="F82" s="15"/>
      <c r="G82" s="15"/>
    </row>
    <row r="83" spans="1:7">
      <c r="B83" s="10" t="s">
        <v>43</v>
      </c>
    </row>
    <row r="85" spans="1:7" ht="14.25">
      <c r="B85" s="8" t="s">
        <v>44</v>
      </c>
      <c r="C85" s="9">
        <f>(E44/(1-D42))*POWER(B40,0.75)*POWER(B38,0.25)*(2.4+0.5*B37)</f>
        <v>107132923.85932897</v>
      </c>
      <c r="D85" s="10" t="s">
        <v>15</v>
      </c>
      <c r="E85" s="8" t="s">
        <v>49</v>
      </c>
      <c r="F85" s="9">
        <f>C85*(1+1.26*F37*(1+F37*POWER(F38,0.2)*POWER(B37,0.5)))</f>
        <v>216967327.1643512</v>
      </c>
      <c r="G85" s="10" t="s">
        <v>15</v>
      </c>
    </row>
    <row r="86" spans="1:7" ht="14.25">
      <c r="B86" s="8" t="s">
        <v>48</v>
      </c>
      <c r="C86" s="9">
        <f>(3*E44/(1-D42))*POWER(E40,0.75)*POWER(B38,0.15)</f>
        <v>335334057.03239119</v>
      </c>
      <c r="D86" s="10" t="s">
        <v>15</v>
      </c>
      <c r="E86" s="8" t="s">
        <v>50</v>
      </c>
      <c r="F86" s="9">
        <f>C86*(1+0.92*POWER(D38,0.6)*(1.5+POWER(D38,1.9)*POWER(F38,0.6)))</f>
        <v>564280400.94075751</v>
      </c>
      <c r="G86" s="10" t="s">
        <v>15</v>
      </c>
    </row>
    <row r="87" spans="1:7">
      <c r="B87" s="13" t="s">
        <v>54</v>
      </c>
    </row>
    <row r="88" spans="1:7" ht="14.25">
      <c r="B88" s="8" t="s">
        <v>44</v>
      </c>
      <c r="C88" s="6">
        <f>1-0.2*G46</f>
        <v>0.96956769503640428</v>
      </c>
      <c r="E88" s="8" t="s">
        <v>111</v>
      </c>
      <c r="F88" s="28">
        <f>F85*C88</f>
        <v>210364511.29694942</v>
      </c>
      <c r="G88" s="10" t="s">
        <v>15</v>
      </c>
    </row>
    <row r="89" spans="1:7" ht="14.25">
      <c r="B89" s="8" t="s">
        <v>48</v>
      </c>
      <c r="C89" s="6">
        <f>1-0.3*G46</f>
        <v>0.95435154255460652</v>
      </c>
      <c r="E89" s="8" t="s">
        <v>50</v>
      </c>
      <c r="F89" s="28">
        <f>F86*C89</f>
        <v>538521871.07114375</v>
      </c>
      <c r="G89" s="10" t="s">
        <v>15</v>
      </c>
    </row>
    <row r="90" spans="1:7">
      <c r="B90" s="8"/>
      <c r="F90" s="28"/>
      <c r="G90" s="10"/>
    </row>
    <row r="91" spans="1:7" ht="15">
      <c r="B91" s="8"/>
      <c r="C91" s="26" t="s">
        <v>112</v>
      </c>
      <c r="D91" s="27">
        <f>F88-B47*B129*B44</f>
        <v>210364511.29694942</v>
      </c>
      <c r="E91" s="25" t="s">
        <v>15</v>
      </c>
      <c r="F91" s="28"/>
      <c r="G91" s="10"/>
    </row>
    <row r="92" spans="1:7" ht="15">
      <c r="B92" s="8"/>
      <c r="C92" s="26" t="s">
        <v>113</v>
      </c>
      <c r="D92" s="27">
        <f>F89-B47*B130*B44</f>
        <v>538521871.07114375</v>
      </c>
      <c r="E92" s="25" t="s">
        <v>15</v>
      </c>
      <c r="F92" s="28"/>
      <c r="G92" s="10"/>
    </row>
    <row r="93" spans="1:7" ht="13.5" thickBot="1">
      <c r="A93" s="15"/>
      <c r="B93" s="15"/>
      <c r="C93" s="15"/>
      <c r="D93" s="15"/>
      <c r="E93" s="15"/>
      <c r="F93" s="15"/>
      <c r="G93" s="15"/>
    </row>
    <row r="94" spans="1:7">
      <c r="B94" s="17" t="s">
        <v>55</v>
      </c>
    </row>
    <row r="96" spans="1:7" ht="14.25">
      <c r="A96" s="8" t="s">
        <v>56</v>
      </c>
      <c r="B96" s="9">
        <f>E44*POWER(B41,0.75)*(3.8+10.7*POWER((1-B37),10))</f>
        <v>336003093.14695436</v>
      </c>
      <c r="C96" s="10" t="s">
        <v>15</v>
      </c>
      <c r="E96" s="8" t="s">
        <v>57</v>
      </c>
      <c r="F96" s="9">
        <f>B96*(1+(1.3+1.32*B37)*POWER(D37,0.9))</f>
        <v>735002194.328089</v>
      </c>
      <c r="G96" s="10" t="s">
        <v>15</v>
      </c>
    </row>
    <row r="98" spans="1:7">
      <c r="A98" s="13" t="s">
        <v>58</v>
      </c>
    </row>
    <row r="99" spans="1:7">
      <c r="A99" s="14" t="s">
        <v>59</v>
      </c>
      <c r="B99" s="6">
        <f>0.33-0.13*SQRT(B38-1)</f>
        <v>0.19594196043871709</v>
      </c>
    </row>
    <row r="100" spans="1:7" ht="14.25">
      <c r="A100" s="14" t="s">
        <v>60</v>
      </c>
      <c r="B100" s="6">
        <f>0.8/(1+0.33*(B38-1))</f>
        <v>0.59218731142132996</v>
      </c>
      <c r="C100" s="8" t="s">
        <v>61</v>
      </c>
      <c r="D100" s="6">
        <f>1-B99*POWER(G46,2)/(B100+POWER(G46,2))</f>
        <v>0.99262738265150752</v>
      </c>
      <c r="E100" s="14"/>
      <c r="F100" s="6"/>
    </row>
    <row r="101" spans="1:7">
      <c r="E101" s="14"/>
      <c r="F101" s="6"/>
    </row>
    <row r="102" spans="1:7" ht="14.25">
      <c r="B102" s="13" t="s">
        <v>62</v>
      </c>
      <c r="E102" s="8" t="s">
        <v>57</v>
      </c>
      <c r="F102" s="28">
        <f>D100*F96</f>
        <v>729583304.39900565</v>
      </c>
      <c r="G102" s="10" t="s">
        <v>15</v>
      </c>
    </row>
    <row r="103" spans="1:7">
      <c r="B103" s="13"/>
      <c r="E103" s="8"/>
      <c r="F103" s="28"/>
      <c r="G103" s="10"/>
    </row>
    <row r="104" spans="1:7" ht="15">
      <c r="D104" s="26" t="s">
        <v>114</v>
      </c>
      <c r="E104" s="27">
        <f>F102-B47*B138*B44</f>
        <v>729583304.39900565</v>
      </c>
      <c r="F104" s="25" t="s">
        <v>15</v>
      </c>
      <c r="G104" s="10"/>
    </row>
    <row r="105" spans="1:7" ht="13.5" thickBot="1">
      <c r="A105" s="15"/>
      <c r="B105" s="15"/>
      <c r="C105" s="15"/>
      <c r="D105" s="15"/>
      <c r="E105" s="15"/>
      <c r="F105" s="15"/>
      <c r="G105" s="15"/>
    </row>
    <row r="107" spans="1:7" ht="15.75" customHeight="1">
      <c r="A107" s="12" t="s">
        <v>63</v>
      </c>
    </row>
    <row r="108" spans="1:7">
      <c r="A108" s="10" t="s">
        <v>69</v>
      </c>
    </row>
    <row r="109" spans="1:7" ht="14.25">
      <c r="B109" s="8" t="s">
        <v>65</v>
      </c>
      <c r="C109" s="6">
        <f>3.4*F42/(PI()*(1-D42))</f>
        <v>2438.8945920720203</v>
      </c>
      <c r="D109" s="13" t="s">
        <v>9</v>
      </c>
    </row>
    <row r="110" spans="1:7">
      <c r="A110" s="13" t="s">
        <v>66</v>
      </c>
      <c r="D110" s="18">
        <v>1</v>
      </c>
      <c r="F110" s="13"/>
    </row>
    <row r="111" spans="1:7" ht="14.25">
      <c r="B111" s="8" t="s">
        <v>64</v>
      </c>
      <c r="C111" s="9">
        <f>E43*C109*B39*D110</f>
        <v>30324.144332553093</v>
      </c>
      <c r="D111" t="s">
        <v>68</v>
      </c>
    </row>
    <row r="112" spans="1:7">
      <c r="A112" s="13" t="s">
        <v>77</v>
      </c>
    </row>
    <row r="113" spans="1:7" ht="15">
      <c r="A113" s="8" t="s">
        <v>67</v>
      </c>
      <c r="B113" s="9">
        <f>(F146*C111+E43*F42*D39*F145)*F147</f>
        <v>0</v>
      </c>
      <c r="C113" t="s">
        <v>68</v>
      </c>
      <c r="E113" s="26" t="s">
        <v>115</v>
      </c>
      <c r="F113" s="27">
        <f>B113+2*F58*B44/B47</f>
        <v>8961.7952749561828</v>
      </c>
      <c r="G113" s="25" t="s">
        <v>68</v>
      </c>
    </row>
    <row r="114" spans="1:7" ht="13.5" thickBot="1">
      <c r="A114" s="15"/>
      <c r="B114" s="15"/>
      <c r="C114" s="15"/>
      <c r="D114" s="15"/>
      <c r="E114" s="15"/>
      <c r="F114" s="15"/>
      <c r="G114" s="15"/>
    </row>
    <row r="115" spans="1:7">
      <c r="A115" s="10" t="s">
        <v>70</v>
      </c>
    </row>
    <row r="117" spans="1:7" ht="14.25">
      <c r="A117" s="8" t="s">
        <v>71</v>
      </c>
      <c r="B117" s="9">
        <f>E43*F42*B39*G117</f>
        <v>18282.68710666422</v>
      </c>
      <c r="C117" t="s">
        <v>68</v>
      </c>
      <c r="D117" s="13" t="s">
        <v>72</v>
      </c>
      <c r="G117" s="18">
        <v>0.87</v>
      </c>
    </row>
    <row r="118" spans="1:7" ht="14.25">
      <c r="A118" s="8" t="s">
        <v>73</v>
      </c>
      <c r="B118" s="9">
        <f>E43*F42*B39*G118</f>
        <v>21224.728710035473</v>
      </c>
      <c r="C118" t="s">
        <v>68</v>
      </c>
      <c r="D118" s="13" t="s">
        <v>74</v>
      </c>
      <c r="G118" s="18">
        <v>1.01</v>
      </c>
    </row>
    <row r="119" spans="1:7">
      <c r="A119" s="13" t="s">
        <v>83</v>
      </c>
    </row>
    <row r="120" spans="1:7">
      <c r="A120" s="13"/>
    </row>
    <row r="121" spans="1:7" ht="15">
      <c r="A121" s="8" t="s">
        <v>75</v>
      </c>
      <c r="B121" s="9">
        <f>(G117+D37*POWER((B36/F35),0.2)*(1+C109*B37/F42))*E43*F42*B39*F145*F146*F147</f>
        <v>0</v>
      </c>
      <c r="C121" t="s">
        <v>68</v>
      </c>
      <c r="D121" s="26" t="s">
        <v>116</v>
      </c>
      <c r="E121" s="27">
        <f>B121+2*F77*B44/B47</f>
        <v>11825.8483836163</v>
      </c>
      <c r="F121" s="25" t="s">
        <v>68</v>
      </c>
    </row>
    <row r="122" spans="1:7" ht="15">
      <c r="A122" s="8" t="s">
        <v>76</v>
      </c>
      <c r="B122" s="9">
        <f>(G118+D37*POWER((B36/F35),0.35)*C109/F42+B37)*E43*F42*B39*F145*F146*F147</f>
        <v>0</v>
      </c>
      <c r="C122" t="s">
        <v>68</v>
      </c>
      <c r="D122" s="26" t="s">
        <v>117</v>
      </c>
      <c r="E122" s="27">
        <f>B122+2*F78*B44/B47</f>
        <v>12519.748528476215</v>
      </c>
      <c r="F122" s="25" t="s">
        <v>68</v>
      </c>
    </row>
    <row r="123" spans="1:7" ht="13.5" thickBot="1">
      <c r="A123" s="15"/>
      <c r="B123" s="15"/>
      <c r="C123" s="15"/>
      <c r="D123" s="15"/>
      <c r="E123" s="15"/>
      <c r="F123" s="15"/>
      <c r="G123" s="15"/>
    </row>
    <row r="124" spans="1:7">
      <c r="B124" s="17" t="s">
        <v>78</v>
      </c>
    </row>
    <row r="126" spans="1:7" ht="14.25">
      <c r="A126" s="8" t="s">
        <v>81</v>
      </c>
      <c r="B126" s="9">
        <f>E43*C109*B40*G126</f>
        <v>3849.9533644609401</v>
      </c>
      <c r="C126" t="s">
        <v>68</v>
      </c>
      <c r="D126" s="13" t="s">
        <v>80</v>
      </c>
      <c r="G126" s="18">
        <v>0.05</v>
      </c>
    </row>
    <row r="127" spans="1:7" ht="14.25">
      <c r="A127" s="8" t="s">
        <v>82</v>
      </c>
      <c r="B127" s="9">
        <f>E43*C109*E40*G127</f>
        <v>26226.76616643474</v>
      </c>
      <c r="C127" t="s">
        <v>68</v>
      </c>
      <c r="D127" s="13" t="s">
        <v>264</v>
      </c>
      <c r="G127" s="18">
        <v>0.08</v>
      </c>
    </row>
    <row r="128" spans="1:7">
      <c r="A128" s="13" t="s">
        <v>83</v>
      </c>
    </row>
    <row r="129" spans="1:7" ht="14.25">
      <c r="A129" s="8" t="s">
        <v>84</v>
      </c>
      <c r="B129" s="9">
        <f>E43*C109*B40*E129*E130*F145*F146*F147</f>
        <v>0</v>
      </c>
      <c r="C129" t="s">
        <v>68</v>
      </c>
      <c r="D129" s="8" t="s">
        <v>86</v>
      </c>
      <c r="E129" s="6">
        <f>G126+(0.25+0.65*POWER((G46*POWER((B36/F35),-G46)*POWER(D37,-0.5)),0.5))</f>
        <v>0.59057821884421013</v>
      </c>
      <c r="F129" s="8" t="s">
        <v>88</v>
      </c>
      <c r="G129" s="6">
        <f>G127+0.25+(0.65*POWER((G46*POWER((B36/F35),-G46)*POWER(D37,-0.5)*POWER(B38,0.5)),0.5))</f>
        <v>0.6782645093026296</v>
      </c>
    </row>
    <row r="130" spans="1:7" ht="14.25">
      <c r="A130" s="8" t="s">
        <v>85</v>
      </c>
      <c r="B130" s="9">
        <f>E43*C109*E40*G129*G130*F145*F146*F147</f>
        <v>0</v>
      </c>
      <c r="C130" t="s">
        <v>68</v>
      </c>
      <c r="D130" s="8" t="s">
        <v>87</v>
      </c>
      <c r="E130" s="6">
        <f>POWER(F37,3)+2.77*(1-D42)*F37+0.92*(1-D42)*(D38+POWER(B36,3)/(F36*D36*D36))</f>
        <v>1.6581691173687783</v>
      </c>
      <c r="F130" s="8" t="s">
        <v>89</v>
      </c>
      <c r="G130" s="6">
        <f>POWER(D38,3)+2.77*(1-D42)*D38+0.92*(1-D42)*(F37+POWER(B36,3)/(D36*F36*F36))</f>
        <v>1.0374184151015677</v>
      </c>
    </row>
    <row r="131" spans="1:7">
      <c r="B131" s="8"/>
      <c r="C131" s="9"/>
    </row>
    <row r="132" spans="1:7" ht="15">
      <c r="B132" s="8"/>
      <c r="C132" s="9"/>
      <c r="D132" s="26" t="s">
        <v>118</v>
      </c>
      <c r="E132" s="27">
        <f>B129+2*F88*B44/B47</f>
        <v>135457.39106144448</v>
      </c>
      <c r="F132" s="25" t="s">
        <v>68</v>
      </c>
    </row>
    <row r="133" spans="1:7" ht="15">
      <c r="B133" s="8"/>
      <c r="C133" s="9"/>
      <c r="D133" s="26" t="s">
        <v>119</v>
      </c>
      <c r="E133" s="27">
        <f>B130+2*F89*B44/B47</f>
        <v>346763.65911288827</v>
      </c>
      <c r="F133" s="25" t="s">
        <v>68</v>
      </c>
      <c r="G133" s="27"/>
    </row>
    <row r="134" spans="1:7" ht="13.5" thickBot="1">
      <c r="A134" s="15"/>
      <c r="B134" s="15"/>
      <c r="C134" s="15"/>
      <c r="D134" s="15"/>
      <c r="E134" s="15"/>
      <c r="F134" s="15"/>
      <c r="G134" s="15"/>
    </row>
    <row r="135" spans="1:7">
      <c r="A135" s="17" t="s">
        <v>90</v>
      </c>
    </row>
    <row r="137" spans="1:7" ht="14.25">
      <c r="A137" s="8" t="s">
        <v>92</v>
      </c>
      <c r="B137" s="9">
        <f>E43*F42*B41*G137</f>
        <v>19638.434165170136</v>
      </c>
      <c r="C137" t="s">
        <v>68</v>
      </c>
      <c r="D137" s="13" t="s">
        <v>91</v>
      </c>
      <c r="G137" s="18">
        <v>7.0000000000000007E-2</v>
      </c>
    </row>
    <row r="138" spans="1:7" ht="14.25">
      <c r="A138" s="8" t="s">
        <v>93</v>
      </c>
      <c r="B138" s="9">
        <f>(E43*F42*B41*(G137+(G138*F37*(3/F139+D139*POWER(B38,2)/F139+3*F36/(D36*F139))+D139*D36/(F36*F139))))*F145*F146*F147</f>
        <v>0</v>
      </c>
      <c r="C138" t="s">
        <v>68</v>
      </c>
      <c r="D138" s="13" t="s">
        <v>94</v>
      </c>
      <c r="G138" s="18">
        <v>0.05</v>
      </c>
    </row>
    <row r="139" spans="1:7">
      <c r="C139" s="14" t="s">
        <v>95</v>
      </c>
      <c r="D139" s="6">
        <f>3.4/(PI()*(1-D42))</f>
        <v>1.4430048173665178</v>
      </c>
      <c r="E139" s="14" t="s">
        <v>96</v>
      </c>
      <c r="F139" s="6">
        <f>1+POWER(B38,2)</f>
        <v>5.2576434835118686</v>
      </c>
    </row>
    <row r="140" spans="1:7" ht="14.25">
      <c r="E140" s="14" t="s">
        <v>146</v>
      </c>
      <c r="F140" s="6">
        <f>G46*POWER(B38,0.6)*POWER(F37,0.1)</f>
        <v>0.22252393417550398</v>
      </c>
      <c r="G140" s="6"/>
    </row>
    <row r="141" spans="1:7" ht="15">
      <c r="B141" s="26" t="s">
        <v>120</v>
      </c>
      <c r="C141" s="27">
        <f>B138+2*F102*B44/B47</f>
        <v>469791.4603874067</v>
      </c>
      <c r="D141" s="25" t="s">
        <v>68</v>
      </c>
    </row>
    <row r="142" spans="1:7" ht="13.5" thickBot="1">
      <c r="A142" s="15"/>
      <c r="B142" s="15"/>
      <c r="C142" s="15"/>
      <c r="D142" s="15"/>
      <c r="E142" s="15"/>
      <c r="F142" s="15"/>
      <c r="G142" s="15"/>
    </row>
    <row r="143" spans="1:7">
      <c r="A143" s="10" t="s">
        <v>100</v>
      </c>
    </row>
    <row r="145" spans="1:7">
      <c r="A145" s="13" t="s">
        <v>140</v>
      </c>
      <c r="E145" s="13" t="s">
        <v>103</v>
      </c>
      <c r="F145" s="18">
        <v>1</v>
      </c>
    </row>
    <row r="146" spans="1:7">
      <c r="A146" s="13" t="s">
        <v>104</v>
      </c>
      <c r="E146" s="13" t="s">
        <v>105</v>
      </c>
      <c r="F146" s="18">
        <v>1</v>
      </c>
    </row>
    <row r="147" spans="1:7">
      <c r="A147" s="13" t="s">
        <v>102</v>
      </c>
      <c r="E147" s="13" t="s">
        <v>101</v>
      </c>
      <c r="F147" s="20">
        <f>IF(D45&lt;B46,0,1)</f>
        <v>0</v>
      </c>
    </row>
    <row r="148" spans="1:7" ht="13.5" thickBot="1">
      <c r="A148" s="15"/>
      <c r="B148" s="15"/>
      <c r="C148" s="15"/>
      <c r="D148" s="15"/>
      <c r="E148" s="15"/>
      <c r="F148" s="15"/>
      <c r="G148" s="15"/>
    </row>
    <row r="150" spans="1:7">
      <c r="A150" s="10" t="s">
        <v>131</v>
      </c>
    </row>
    <row r="152" spans="1:7">
      <c r="A152" s="13" t="s">
        <v>121</v>
      </c>
    </row>
    <row r="154" spans="1:7">
      <c r="A154" s="29" t="s">
        <v>122</v>
      </c>
      <c r="B154" s="29" t="s">
        <v>123</v>
      </c>
      <c r="C154" s="29" t="s">
        <v>124</v>
      </c>
    </row>
    <row r="155" spans="1:7" ht="15.75">
      <c r="B155" s="29" t="s">
        <v>125</v>
      </c>
      <c r="C155" s="29" t="s">
        <v>125</v>
      </c>
      <c r="D155" s="14" t="s">
        <v>130</v>
      </c>
      <c r="E155" s="32">
        <f>(B158+B156)/2</f>
        <v>5.6950000000000003</v>
      </c>
      <c r="F155" s="14" t="s">
        <v>132</v>
      </c>
      <c r="G155" s="32">
        <f>(C158+C156)/2</f>
        <v>2.76</v>
      </c>
    </row>
    <row r="156" spans="1:7" ht="15.75">
      <c r="A156" s="19">
        <v>1</v>
      </c>
      <c r="B156" s="19">
        <v>0</v>
      </c>
      <c r="C156" s="19">
        <v>0</v>
      </c>
      <c r="D156" s="14" t="s">
        <v>126</v>
      </c>
      <c r="E156" s="32">
        <f>(B156+B157)/2</f>
        <v>0</v>
      </c>
      <c r="F156" s="14" t="s">
        <v>150</v>
      </c>
      <c r="G156" s="33">
        <f>(C156+C157)/2</f>
        <v>2.76</v>
      </c>
    </row>
    <row r="157" spans="1:7" ht="15.75">
      <c r="A157" s="19">
        <v>2</v>
      </c>
      <c r="B157" s="19">
        <v>0</v>
      </c>
      <c r="C157" s="19">
        <f>B35</f>
        <v>5.52</v>
      </c>
      <c r="D157" s="14" t="s">
        <v>127</v>
      </c>
      <c r="E157" s="32">
        <f>(B157+B158)/2</f>
        <v>5.6950000000000003</v>
      </c>
      <c r="F157" s="14" t="s">
        <v>151</v>
      </c>
      <c r="G157" s="32">
        <f>(C157+C158)/2</f>
        <v>5.52</v>
      </c>
    </row>
    <row r="158" spans="1:7" ht="15.75">
      <c r="A158" s="19">
        <v>3</v>
      </c>
      <c r="B158" s="19">
        <f>D35</f>
        <v>11.39</v>
      </c>
      <c r="C158" s="19">
        <f>C157</f>
        <v>5.52</v>
      </c>
      <c r="D158" s="14" t="s">
        <v>128</v>
      </c>
      <c r="E158" s="32">
        <f>(B158+B159)/2</f>
        <v>11.39</v>
      </c>
      <c r="F158" s="14" t="s">
        <v>152</v>
      </c>
      <c r="G158" s="32">
        <f>(C158+C159)/2</f>
        <v>2.76</v>
      </c>
    </row>
    <row r="159" spans="1:7" ht="15.75">
      <c r="A159" s="19">
        <v>4</v>
      </c>
      <c r="B159" s="19">
        <f>B158</f>
        <v>11.39</v>
      </c>
      <c r="C159" s="19">
        <v>0</v>
      </c>
      <c r="D159" s="14" t="s">
        <v>129</v>
      </c>
      <c r="E159" s="32">
        <f>(B159+B156)/2</f>
        <v>5.6950000000000003</v>
      </c>
      <c r="F159" s="14" t="s">
        <v>153</v>
      </c>
      <c r="G159" s="32">
        <f>(C159+C160)/2</f>
        <v>0</v>
      </c>
    </row>
    <row r="160" spans="1:7">
      <c r="A160" s="19">
        <f>A156</f>
        <v>1</v>
      </c>
      <c r="B160" s="19">
        <f>B156</f>
        <v>0</v>
      </c>
      <c r="C160" s="19">
        <f>C156</f>
        <v>0</v>
      </c>
    </row>
    <row r="162" spans="1:6">
      <c r="A162" s="13" t="s">
        <v>136</v>
      </c>
    </row>
    <row r="163" spans="1:6" ht="15">
      <c r="A163" s="8" t="s">
        <v>137</v>
      </c>
      <c r="B163" s="30">
        <f>(C157-C156)*B36</f>
        <v>8.831999999999999</v>
      </c>
    </row>
    <row r="164" spans="1:6" ht="15">
      <c r="A164" s="8" t="s">
        <v>138</v>
      </c>
      <c r="B164" s="30">
        <f>(B158-B157)*B36</f>
        <v>18.224</v>
      </c>
    </row>
    <row r="165" spans="1:6" ht="15">
      <c r="A165" s="8" t="s">
        <v>139</v>
      </c>
      <c r="B165" s="30">
        <f>(C158-C159)*B36</f>
        <v>8.831999999999999</v>
      </c>
    </row>
    <row r="166" spans="1:6" ht="15">
      <c r="A166" s="8" t="s">
        <v>164</v>
      </c>
      <c r="B166" s="30">
        <f>(B159-B160)*B36</f>
        <v>18.224</v>
      </c>
      <c r="C166" t="str">
        <f>IF(SUM(B163:B166)=D39,"…ok","Checar datos")</f>
        <v>…ok</v>
      </c>
    </row>
    <row r="168" spans="1:6">
      <c r="A168" s="11" t="s">
        <v>154</v>
      </c>
    </row>
    <row r="169" spans="1:6" ht="15">
      <c r="B169" s="8" t="s">
        <v>147</v>
      </c>
      <c r="C169" s="34">
        <f>B163*B56</f>
        <v>17770.863257348545</v>
      </c>
    </row>
    <row r="170" spans="1:6" ht="15">
      <c r="B170" s="8" t="s">
        <v>155</v>
      </c>
      <c r="C170" s="34">
        <f>B164*B56</f>
        <v>36668.502264710136</v>
      </c>
      <c r="E170" s="8" t="s">
        <v>148</v>
      </c>
      <c r="F170" s="32">
        <f>(C169*E156+C170*E157+C171*E158+C172*E159+B54*E155)/B53</f>
        <v>5.6950000000000003</v>
      </c>
    </row>
    <row r="171" spans="1:6" ht="15">
      <c r="B171" s="8" t="s">
        <v>156</v>
      </c>
      <c r="C171" s="34">
        <f>B165*B56</f>
        <v>17770.863257348545</v>
      </c>
      <c r="E171" s="8" t="s">
        <v>149</v>
      </c>
      <c r="F171" s="32">
        <f>(C169*G156+C170*G157+C171*G158+C172*G159+B54*G155)/B53</f>
        <v>2.7599999999999993</v>
      </c>
    </row>
    <row r="172" spans="1:6" ht="15">
      <c r="B172" s="8" t="s">
        <v>157</v>
      </c>
      <c r="C172" s="34">
        <f>B166*B56</f>
        <v>36668.502264710136</v>
      </c>
      <c r="D172" t="str">
        <f>IF(SUM(C169:C172)=B55,"…ok","Checa los datos")</f>
        <v>…ok</v>
      </c>
    </row>
    <row r="191" spans="1:3">
      <c r="A191" s="11" t="s">
        <v>158</v>
      </c>
    </row>
    <row r="192" spans="1:3" ht="14.25">
      <c r="A192" s="8" t="s">
        <v>163</v>
      </c>
      <c r="B192" s="1">
        <f>C64/D39</f>
        <v>100602.80921673273</v>
      </c>
      <c r="C192" s="13" t="s">
        <v>135</v>
      </c>
    </row>
    <row r="193" spans="1:6" ht="15">
      <c r="A193" s="8" t="s">
        <v>159</v>
      </c>
      <c r="B193" s="1">
        <f>B192*B163</f>
        <v>888524.01100218331</v>
      </c>
      <c r="C193" s="13" t="s">
        <v>135</v>
      </c>
    </row>
    <row r="194" spans="1:6" ht="15">
      <c r="A194" s="8" t="s">
        <v>160</v>
      </c>
      <c r="B194" s="1">
        <f>B192*B164</f>
        <v>1833385.5951657372</v>
      </c>
      <c r="C194" s="13" t="s">
        <v>135</v>
      </c>
      <c r="D194" s="8" t="s">
        <v>165</v>
      </c>
      <c r="E194" s="32">
        <f>(B193*G156+B194*G157+B195*G158+B196*G159+F64*G155)/F65</f>
        <v>2.76</v>
      </c>
    </row>
    <row r="195" spans="1:6" ht="15">
      <c r="A195" s="8" t="s">
        <v>161</v>
      </c>
      <c r="B195" s="1">
        <f>B192*B165</f>
        <v>888524.01100218331</v>
      </c>
      <c r="C195" s="13" t="s">
        <v>135</v>
      </c>
      <c r="D195" s="8" t="s">
        <v>175</v>
      </c>
      <c r="E195" s="32">
        <f>(B193*E199+B194*E200+B195*E201+B196*E202+F64*C198)/F65</f>
        <v>-0.8</v>
      </c>
    </row>
    <row r="196" spans="1:6" ht="15">
      <c r="A196" s="8" t="s">
        <v>162</v>
      </c>
      <c r="B196" s="1">
        <f>B192*B166</f>
        <v>1833385.5951657372</v>
      </c>
      <c r="C196" s="13" t="s">
        <v>135</v>
      </c>
      <c r="D196" t="str">
        <f>IF(SUM(B193:B196)=C64,"…ok","Checa los datos")</f>
        <v>…ok</v>
      </c>
    </row>
    <row r="198" spans="1:6" ht="15.75">
      <c r="B198" s="14" t="s">
        <v>166</v>
      </c>
      <c r="C198" s="32">
        <f>-B36/2</f>
        <v>-0.8</v>
      </c>
    </row>
    <row r="199" spans="1:6" ht="15.75">
      <c r="B199" s="14" t="s">
        <v>171</v>
      </c>
      <c r="C199" s="35">
        <v>0</v>
      </c>
      <c r="D199" s="14" t="s">
        <v>167</v>
      </c>
      <c r="E199" s="32">
        <f>(C199-$B$36)/2</f>
        <v>-0.8</v>
      </c>
    </row>
    <row r="200" spans="1:6" ht="15.75">
      <c r="B200" s="14" t="s">
        <v>172</v>
      </c>
      <c r="C200" s="35">
        <v>0</v>
      </c>
      <c r="D200" s="14" t="s">
        <v>168</v>
      </c>
      <c r="E200" s="32">
        <f>(C200-$B$36)/2</f>
        <v>-0.8</v>
      </c>
    </row>
    <row r="201" spans="1:6" ht="15.75">
      <c r="B201" s="14" t="s">
        <v>173</v>
      </c>
      <c r="C201" s="35">
        <v>0</v>
      </c>
      <c r="D201" s="14" t="s">
        <v>169</v>
      </c>
      <c r="E201" s="32">
        <f>(C201-$B$36)/2</f>
        <v>-0.8</v>
      </c>
    </row>
    <row r="202" spans="1:6" ht="15.75">
      <c r="B202" s="14" t="s">
        <v>174</v>
      </c>
      <c r="C202" s="35">
        <v>0</v>
      </c>
      <c r="D202" s="14" t="s">
        <v>170</v>
      </c>
      <c r="E202" s="32">
        <f>(C202-$B$36)/2</f>
        <v>-0.8</v>
      </c>
    </row>
    <row r="203" spans="1:6">
      <c r="E203" s="32"/>
    </row>
    <row r="204" spans="1:6">
      <c r="A204" s="11" t="s">
        <v>176</v>
      </c>
    </row>
    <row r="205" spans="1:6" ht="14.25">
      <c r="B205" s="8" t="s">
        <v>177</v>
      </c>
      <c r="C205" s="1">
        <f>C68/D39</f>
        <v>95026.954100311981</v>
      </c>
      <c r="D205" s="13" t="s">
        <v>135</v>
      </c>
    </row>
    <row r="206" spans="1:6" ht="15">
      <c r="B206" s="8" t="s">
        <v>178</v>
      </c>
      <c r="C206" s="1">
        <f>C205*B163</f>
        <v>839278.05861395528</v>
      </c>
      <c r="D206" s="13" t="s">
        <v>135</v>
      </c>
    </row>
    <row r="207" spans="1:6" ht="15">
      <c r="B207" s="8" t="s">
        <v>179</v>
      </c>
      <c r="C207" s="1">
        <f>C205*B164</f>
        <v>1731771.2115240856</v>
      </c>
      <c r="D207" s="13" t="s">
        <v>135</v>
      </c>
      <c r="E207" s="8" t="s">
        <v>182</v>
      </c>
      <c r="F207" s="32">
        <f>(C206*E156+C207*E157+C208*E158+C209*E159+F68*E155)/F69</f>
        <v>5.6950000000000003</v>
      </c>
    </row>
    <row r="208" spans="1:6" ht="15">
      <c r="B208" s="8" t="s">
        <v>180</v>
      </c>
      <c r="C208" s="1">
        <f>C205*B165</f>
        <v>839278.05861395528</v>
      </c>
      <c r="D208" s="13" t="s">
        <v>135</v>
      </c>
      <c r="E208" s="8" t="s">
        <v>239</v>
      </c>
      <c r="F208" s="32">
        <f>(C206*E199+C207*E200+C208*E201+C209*E202+F68*C198)/F69</f>
        <v>-0.8</v>
      </c>
    </row>
    <row r="209" spans="1:6" ht="15">
      <c r="B209" s="8" t="s">
        <v>181</v>
      </c>
      <c r="C209" s="1">
        <f>C205*B166</f>
        <v>1731771.2115240856</v>
      </c>
      <c r="D209" s="13" t="s">
        <v>135</v>
      </c>
      <c r="E209" t="str">
        <f>IF(SUM(C206:C209)=C68,"…ok","Checa los datos")</f>
        <v>…ok</v>
      </c>
    </row>
    <row r="211" spans="1:6">
      <c r="A211" t="s">
        <v>183</v>
      </c>
    </row>
    <row r="213" spans="1:6">
      <c r="A213" t="s">
        <v>184</v>
      </c>
    </row>
    <row r="214" spans="1:6">
      <c r="A214" t="s">
        <v>192</v>
      </c>
      <c r="B214" s="19" t="s">
        <v>191</v>
      </c>
      <c r="C214" s="19" t="s">
        <v>194</v>
      </c>
      <c r="D214" s="19" t="s">
        <v>195</v>
      </c>
    </row>
    <row r="215" spans="1:6">
      <c r="A215" t="s">
        <v>193</v>
      </c>
      <c r="B215" s="42">
        <v>2.36</v>
      </c>
      <c r="C215" s="42">
        <v>4.07</v>
      </c>
      <c r="D215" s="42">
        <v>2.44</v>
      </c>
    </row>
    <row r="216" spans="1:6">
      <c r="A216" t="s">
        <v>190</v>
      </c>
      <c r="B216" s="36">
        <f>B35</f>
        <v>5.52</v>
      </c>
      <c r="C216" s="42">
        <v>1.1200000000000001</v>
      </c>
      <c r="D216" s="42">
        <v>2.44</v>
      </c>
    </row>
    <row r="218" spans="1:6">
      <c r="A218" s="37" t="s">
        <v>185</v>
      </c>
      <c r="B218" s="37" t="s">
        <v>186</v>
      </c>
      <c r="C218" s="37" t="s">
        <v>123</v>
      </c>
      <c r="D218" s="37" t="s">
        <v>124</v>
      </c>
      <c r="E218" s="37" t="s">
        <v>187</v>
      </c>
      <c r="F218" s="37" t="s">
        <v>188</v>
      </c>
    </row>
    <row r="219" spans="1:6">
      <c r="A219" s="37" t="s">
        <v>189</v>
      </c>
      <c r="B219" s="4">
        <f>B39*E41</f>
        <v>119.45831999999999</v>
      </c>
      <c r="C219" s="36">
        <f>F170</f>
        <v>5.6950000000000003</v>
      </c>
      <c r="D219" s="36">
        <f>F171</f>
        <v>2.7599999999999993</v>
      </c>
      <c r="E219" s="1">
        <f>B219*2.4*C219</f>
        <v>1632.7563177599998</v>
      </c>
      <c r="F219" s="1">
        <f>B219*2.4*D219</f>
        <v>791.29191167999966</v>
      </c>
    </row>
    <row r="220" spans="1:6">
      <c r="A220" s="10" t="s">
        <v>193</v>
      </c>
      <c r="B220" s="4">
        <f>B215*C215*D215</f>
        <v>23.436688</v>
      </c>
      <c r="C220" s="36">
        <f>C215/2</f>
        <v>2.0350000000000001</v>
      </c>
      <c r="D220" s="36">
        <f>D219</f>
        <v>2.7599999999999993</v>
      </c>
      <c r="E220" s="1">
        <f>B220*2.4*C220</f>
        <v>114.46478419200001</v>
      </c>
      <c r="F220" s="1">
        <f>B220*2.4*D220</f>
        <v>155.24462131199996</v>
      </c>
    </row>
    <row r="221" spans="1:6">
      <c r="A221" s="10" t="s">
        <v>190</v>
      </c>
      <c r="B221" s="4">
        <f>B216*C216*D216</f>
        <v>15.085056</v>
      </c>
      <c r="C221" s="36">
        <f>E158-C216/2</f>
        <v>10.83</v>
      </c>
      <c r="D221" s="36">
        <f>D220</f>
        <v>2.7599999999999993</v>
      </c>
      <c r="E221" s="1">
        <f>B221*2.4*C221</f>
        <v>392.09077555200003</v>
      </c>
      <c r="F221" s="1">
        <f>B221*2.4*D221</f>
        <v>99.923410943999983</v>
      </c>
    </row>
    <row r="222" spans="1:6">
      <c r="A222" s="10" t="s">
        <v>201</v>
      </c>
      <c r="B222" s="45">
        <v>15.5</v>
      </c>
      <c r="C222" s="36">
        <f>C220</f>
        <v>2.0350000000000001</v>
      </c>
      <c r="D222" s="36">
        <f>D220</f>
        <v>2.7599999999999993</v>
      </c>
      <c r="E222" s="1">
        <f>B222*C222</f>
        <v>31.542500000000004</v>
      </c>
      <c r="F222" s="1">
        <f>B222*D222</f>
        <v>42.779999999999987</v>
      </c>
    </row>
    <row r="223" spans="1:6">
      <c r="A223" s="10" t="s">
        <v>200</v>
      </c>
      <c r="B223" s="45">
        <v>22</v>
      </c>
      <c r="C223" s="36">
        <f>C219</f>
        <v>5.6950000000000003</v>
      </c>
      <c r="D223" s="36">
        <f>D219</f>
        <v>2.7599999999999993</v>
      </c>
      <c r="E223" s="1">
        <f>B223*C223</f>
        <v>125.29</v>
      </c>
      <c r="F223" s="1">
        <f>B223*D223</f>
        <v>60.719999999999985</v>
      </c>
    </row>
    <row r="224" spans="1:6">
      <c r="A224" s="10" t="s">
        <v>199</v>
      </c>
      <c r="B224" s="45">
        <v>21.25</v>
      </c>
      <c r="C224" s="36">
        <f>C223</f>
        <v>5.6950000000000003</v>
      </c>
      <c r="D224" s="36">
        <f>D223</f>
        <v>2.7599999999999993</v>
      </c>
      <c r="E224" s="1">
        <f>B224*C224</f>
        <v>121.01875000000001</v>
      </c>
      <c r="F224" s="1">
        <f>B224*D224</f>
        <v>58.649999999999984</v>
      </c>
    </row>
    <row r="225" spans="1:6">
      <c r="A225" s="29" t="s">
        <v>196</v>
      </c>
      <c r="B225" s="4">
        <f>SUM(B219:B221)*2.4+SUM(B222:B224)</f>
        <v>437.90215359999996</v>
      </c>
      <c r="C225" s="19"/>
      <c r="D225" s="19"/>
      <c r="E225" s="1">
        <f>SUM(E219:E224)</f>
        <v>2417.1631275039999</v>
      </c>
      <c r="F225" s="1">
        <f>SUM(F219:F224)</f>
        <v>1208.6099439359996</v>
      </c>
    </row>
    <row r="227" spans="1:6">
      <c r="A227" s="10" t="s">
        <v>202</v>
      </c>
      <c r="D227" s="14" t="s">
        <v>197</v>
      </c>
      <c r="E227" s="36">
        <f>E225/B225</f>
        <v>5.5198703811627023</v>
      </c>
    </row>
    <row r="228" spans="1:6">
      <c r="D228" s="14" t="s">
        <v>198</v>
      </c>
      <c r="E228" s="36">
        <f>F225/B225</f>
        <v>2.7599999999999993</v>
      </c>
    </row>
    <row r="230" spans="1:6">
      <c r="A230" s="13" t="s">
        <v>220</v>
      </c>
      <c r="C230" s="36">
        <f>E155-E227</f>
        <v>0.17512961883729794</v>
      </c>
    </row>
    <row r="231" spans="1:6">
      <c r="A231" s="13" t="s">
        <v>221</v>
      </c>
      <c r="C231" s="36">
        <f>G155-E228</f>
        <v>0</v>
      </c>
    </row>
    <row r="232" spans="1:6">
      <c r="A232" s="13" t="s">
        <v>206</v>
      </c>
      <c r="C232" s="14" t="s">
        <v>203</v>
      </c>
      <c r="D232" s="38">
        <f>B225*ABS(E228-G155)</f>
        <v>1.9446762138386474E-13</v>
      </c>
      <c r="E232" s="13" t="s">
        <v>205</v>
      </c>
    </row>
    <row r="233" spans="1:6">
      <c r="C233" s="14" t="s">
        <v>204</v>
      </c>
      <c r="D233" s="38">
        <f>B225*C230</f>
        <v>76.689637247999883</v>
      </c>
      <c r="E233" s="13" t="s">
        <v>205</v>
      </c>
    </row>
    <row r="234" spans="1:6">
      <c r="A234" s="13" t="s">
        <v>207</v>
      </c>
    </row>
    <row r="235" spans="1:6" ht="14.25">
      <c r="C235" s="8" t="s">
        <v>210</v>
      </c>
      <c r="D235" s="9">
        <f>(B225/B39)+D232*D36/B40</f>
        <v>6.9648902800575163</v>
      </c>
      <c r="E235" s="10" t="s">
        <v>11</v>
      </c>
    </row>
    <row r="236" spans="1:6" ht="14.25">
      <c r="C236" s="8" t="s">
        <v>211</v>
      </c>
      <c r="D236" s="9">
        <f>(B225/B39)+D233*F36/E40</f>
        <v>7.6074321132392901</v>
      </c>
      <c r="E236" s="10" t="s">
        <v>11</v>
      </c>
    </row>
    <row r="238" spans="1:6">
      <c r="A238" s="10" t="s">
        <v>212</v>
      </c>
    </row>
    <row r="240" spans="1:6" ht="15.75">
      <c r="A240" s="13" t="s">
        <v>216</v>
      </c>
      <c r="C240" s="14" t="s">
        <v>217</v>
      </c>
      <c r="D240">
        <f>C241*B242*POWER(B47,2)</f>
        <v>0.3613199469049877</v>
      </c>
    </row>
    <row r="241" spans="1:4">
      <c r="A241" s="13" t="s">
        <v>213</v>
      </c>
      <c r="B241" s="43">
        <v>1</v>
      </c>
      <c r="C241">
        <f>B241*28.7/1000/1000</f>
        <v>2.87E-5</v>
      </c>
      <c r="D241" s="13" t="s">
        <v>214</v>
      </c>
    </row>
    <row r="242" spans="1:4">
      <c r="A242" s="13" t="s">
        <v>215</v>
      </c>
      <c r="B242" s="42">
        <v>1.45</v>
      </c>
    </row>
    <row r="244" spans="1:4">
      <c r="A244" s="13" t="s">
        <v>218</v>
      </c>
    </row>
    <row r="246" spans="1:4">
      <c r="A246" s="29" t="s">
        <v>219</v>
      </c>
      <c r="B246" s="29" t="s">
        <v>255</v>
      </c>
      <c r="C246" s="29" t="s">
        <v>256</v>
      </c>
      <c r="D246" s="29" t="s">
        <v>259</v>
      </c>
    </row>
    <row r="247" spans="1:4">
      <c r="A247">
        <v>0</v>
      </c>
      <c r="B247" s="47">
        <f t="shared" ref="B247:B267" si="0">$D$240*COS(-$B$47*A247)</f>
        <v>0.3613199469049877</v>
      </c>
      <c r="C247" s="47">
        <f t="shared" ref="C247:C267" si="1">$D$240*SIN(-$B$47*A247)</f>
        <v>0</v>
      </c>
      <c r="D247" s="47">
        <f>SQRT(POWER(B247,2)+POWER(C247,2))</f>
        <v>0.3613199469049877</v>
      </c>
    </row>
    <row r="248" spans="1:4">
      <c r="A248">
        <v>1</v>
      </c>
      <c r="B248" s="47">
        <f t="shared" si="0"/>
        <v>0.17406721194771191</v>
      </c>
      <c r="C248" s="47">
        <f t="shared" si="1"/>
        <v>0.31662708310593629</v>
      </c>
      <c r="D248" s="47">
        <f t="shared" ref="D248:D267" si="2">SQRT(POWER(B248,2)+POWER(C248,2))</f>
        <v>0.3613199469049877</v>
      </c>
    </row>
    <row r="249" spans="1:4">
      <c r="A249">
        <v>2</v>
      </c>
      <c r="B249" s="47">
        <f t="shared" si="0"/>
        <v>-0.1936049091120858</v>
      </c>
      <c r="C249" s="47">
        <f t="shared" si="1"/>
        <v>0.30507252121278328</v>
      </c>
      <c r="D249" s="47">
        <f t="shared" si="2"/>
        <v>0.3613199469049877</v>
      </c>
    </row>
    <row r="250" spans="1:4">
      <c r="A250">
        <v>3</v>
      </c>
      <c r="B250" s="47">
        <f t="shared" si="0"/>
        <v>-0.36060696452546109</v>
      </c>
      <c r="C250" s="47">
        <f t="shared" si="1"/>
        <v>-2.2687467182477033E-2</v>
      </c>
      <c r="D250" s="47">
        <f t="shared" si="2"/>
        <v>0.3613199469049877</v>
      </c>
    </row>
    <row r="251" spans="1:4">
      <c r="A251">
        <v>4</v>
      </c>
      <c r="B251" s="47">
        <f t="shared" si="0"/>
        <v>-0.15384255102152453</v>
      </c>
      <c r="C251" s="47">
        <f t="shared" si="1"/>
        <v>-0.32693206255522378</v>
      </c>
      <c r="D251" s="47">
        <f t="shared" si="2"/>
        <v>0.3613199469049877</v>
      </c>
    </row>
    <row r="252" spans="1:4">
      <c r="A252">
        <v>5</v>
      </c>
      <c r="B252" s="47">
        <f t="shared" si="0"/>
        <v>0.21237853614986327</v>
      </c>
      <c r="C252" s="47">
        <f t="shared" si="1"/>
        <v>-0.29231397745277998</v>
      </c>
      <c r="D252" s="47">
        <f t="shared" si="2"/>
        <v>0.3613199469049877</v>
      </c>
    </row>
    <row r="253" spans="1:4">
      <c r="A253">
        <v>6</v>
      </c>
      <c r="B253" s="47">
        <f t="shared" si="0"/>
        <v>0.35847083120260265</v>
      </c>
      <c r="C253" s="47">
        <f t="shared" si="1"/>
        <v>4.5285397296902577E-2</v>
      </c>
      <c r="D253" s="47">
        <f t="shared" si="2"/>
        <v>0.3613199469049877</v>
      </c>
    </row>
    <row r="254" spans="1:4">
      <c r="A254">
        <v>7</v>
      </c>
      <c r="B254" s="47">
        <f t="shared" si="0"/>
        <v>0.13301074383043077</v>
      </c>
      <c r="C254" s="47">
        <f t="shared" si="1"/>
        <v>0.3359467905146567</v>
      </c>
      <c r="D254" s="47">
        <f t="shared" si="2"/>
        <v>0.3613199469049877</v>
      </c>
    </row>
    <row r="255" spans="1:4">
      <c r="A255">
        <v>8</v>
      </c>
      <c r="B255" s="47">
        <f t="shared" si="0"/>
        <v>-0.23031400213198036</v>
      </c>
      <c r="C255" s="47">
        <f t="shared" si="1"/>
        <v>0.27840180396932285</v>
      </c>
      <c r="D255" s="47">
        <f t="shared" si="2"/>
        <v>0.3613199469049877</v>
      </c>
    </row>
    <row r="256" spans="1:4">
      <c r="A256">
        <v>9</v>
      </c>
      <c r="B256" s="47">
        <f t="shared" si="0"/>
        <v>-0.35491997727873109</v>
      </c>
      <c r="C256" s="47">
        <f t="shared" si="1"/>
        <v>-6.7704606637127185E-2</v>
      </c>
      <c r="D256" s="47">
        <f t="shared" si="2"/>
        <v>0.3613199469049877</v>
      </c>
    </row>
    <row r="257" spans="1:7">
      <c r="A257">
        <v>10</v>
      </c>
      <c r="B257" s="47">
        <f t="shared" si="0"/>
        <v>-0.11165400400026654</v>
      </c>
      <c r="C257" s="47">
        <f t="shared" si="1"/>
        <v>-0.34363568997141669</v>
      </c>
      <c r="D257" s="47">
        <f t="shared" si="2"/>
        <v>0.3613199469049877</v>
      </c>
    </row>
    <row r="258" spans="1:7">
      <c r="A258">
        <v>11</v>
      </c>
      <c r="B258" s="47">
        <f t="shared" si="0"/>
        <v>0.24734052396814071</v>
      </c>
      <c r="C258" s="47">
        <f t="shared" si="1"/>
        <v>-0.26339090575528373</v>
      </c>
      <c r="D258" s="47">
        <f t="shared" si="2"/>
        <v>0.3613199469049877</v>
      </c>
    </row>
    <row r="259" spans="1:7">
      <c r="A259">
        <v>12</v>
      </c>
      <c r="B259" s="47">
        <f t="shared" si="0"/>
        <v>0.34996841635205328</v>
      </c>
      <c r="C259" s="47">
        <f t="shared" si="1"/>
        <v>8.9856616826247376E-2</v>
      </c>
      <c r="D259" s="47">
        <f t="shared" si="2"/>
        <v>0.36131994690498775</v>
      </c>
    </row>
    <row r="260" spans="1:7">
      <c r="A260">
        <v>13</v>
      </c>
      <c r="B260" s="47">
        <f t="shared" si="0"/>
        <v>8.985661682617517E-2</v>
      </c>
      <c r="C260" s="47">
        <f t="shared" si="1"/>
        <v>0.34996841635207182</v>
      </c>
      <c r="D260" s="47">
        <f t="shared" si="2"/>
        <v>0.36131994690498775</v>
      </c>
    </row>
    <row r="261" spans="1:7">
      <c r="A261">
        <v>14</v>
      </c>
      <c r="B261" s="47">
        <f t="shared" si="0"/>
        <v>-0.26339090575533475</v>
      </c>
      <c r="C261" s="47">
        <f t="shared" si="1"/>
        <v>0.24734052396808634</v>
      </c>
      <c r="D261" s="47">
        <f t="shared" si="2"/>
        <v>0.3613199469049877</v>
      </c>
    </row>
    <row r="262" spans="1:7">
      <c r="A262">
        <v>15</v>
      </c>
      <c r="B262" s="47">
        <f t="shared" si="0"/>
        <v>-0.34363568997139365</v>
      </c>
      <c r="C262" s="47">
        <f t="shared" si="1"/>
        <v>-0.11165400400033741</v>
      </c>
      <c r="D262" s="47">
        <f t="shared" si="2"/>
        <v>0.3613199469049877</v>
      </c>
    </row>
    <row r="263" spans="1:7">
      <c r="A263">
        <v>16</v>
      </c>
      <c r="B263" s="47">
        <f t="shared" si="0"/>
        <v>-6.7704606637053952E-2</v>
      </c>
      <c r="C263" s="47">
        <f t="shared" si="1"/>
        <v>-0.35491997727874508</v>
      </c>
      <c r="D263" s="47">
        <f t="shared" si="2"/>
        <v>0.3613199469049877</v>
      </c>
    </row>
    <row r="264" spans="1:7">
      <c r="A264">
        <v>17</v>
      </c>
      <c r="B264" s="47">
        <f t="shared" si="0"/>
        <v>0.27840180396937036</v>
      </c>
      <c r="C264" s="47">
        <f t="shared" si="1"/>
        <v>-0.23031400213192293</v>
      </c>
      <c r="D264" s="47">
        <f t="shared" si="2"/>
        <v>0.3613199469049877</v>
      </c>
    </row>
    <row r="265" spans="1:7">
      <c r="A265">
        <v>18</v>
      </c>
      <c r="B265" s="47">
        <f t="shared" si="0"/>
        <v>0.33594679051462928</v>
      </c>
      <c r="C265" s="47">
        <f t="shared" si="1"/>
        <v>0.1330107438305001</v>
      </c>
      <c r="D265" s="47">
        <f t="shared" si="2"/>
        <v>0.3613199469049877</v>
      </c>
    </row>
    <row r="266" spans="1:7">
      <c r="A266">
        <v>19</v>
      </c>
      <c r="B266" s="47">
        <f t="shared" si="0"/>
        <v>4.5285397296828629E-2</v>
      </c>
      <c r="C266" s="47">
        <f t="shared" si="1"/>
        <v>0.35847083120261197</v>
      </c>
      <c r="D266" s="47">
        <f t="shared" si="2"/>
        <v>0.3613199469049877</v>
      </c>
    </row>
    <row r="267" spans="1:7">
      <c r="A267">
        <v>20</v>
      </c>
      <c r="B267" s="47">
        <f t="shared" si="0"/>
        <v>-0.29231397745282378</v>
      </c>
      <c r="C267" s="47">
        <f t="shared" si="1"/>
        <v>0.21237853614980293</v>
      </c>
      <c r="D267" s="47">
        <f t="shared" si="2"/>
        <v>0.3613199469049877</v>
      </c>
    </row>
    <row r="268" spans="1:7">
      <c r="B268" s="47"/>
      <c r="C268" s="47"/>
      <c r="D268" s="47"/>
    </row>
    <row r="269" spans="1:7">
      <c r="A269" t="s">
        <v>243</v>
      </c>
    </row>
    <row r="271" spans="1:7">
      <c r="B271" s="47">
        <v>0</v>
      </c>
      <c r="C271" s="46"/>
      <c r="D271" s="46"/>
      <c r="E271" s="46"/>
      <c r="F271" s="46"/>
      <c r="G271" s="46"/>
    </row>
    <row r="272" spans="1:7">
      <c r="B272" s="47">
        <f>D240</f>
        <v>0.3613199469049877</v>
      </c>
      <c r="C272" s="46"/>
      <c r="D272" s="46"/>
      <c r="E272" s="46"/>
      <c r="F272" s="46"/>
      <c r="G272" s="46"/>
    </row>
    <row r="273" spans="1:7">
      <c r="A273" s="55" t="s">
        <v>262</v>
      </c>
      <c r="B273" s="47">
        <f>D240</f>
        <v>0.3613199469049877</v>
      </c>
      <c r="C273" s="46"/>
      <c r="D273" s="46"/>
      <c r="E273" s="46"/>
      <c r="F273" s="46"/>
      <c r="G273" s="46"/>
    </row>
    <row r="274" spans="1:7">
      <c r="A274" s="56"/>
      <c r="B274" s="47">
        <v>0</v>
      </c>
      <c r="C274" s="46"/>
      <c r="D274" s="46"/>
      <c r="E274" s="46"/>
      <c r="F274" s="46"/>
      <c r="G274" s="46"/>
    </row>
    <row r="275" spans="1:7">
      <c r="B275" s="47">
        <f>F271</f>
        <v>0</v>
      </c>
      <c r="C275" s="46"/>
      <c r="D275" s="46"/>
      <c r="E275" s="46"/>
      <c r="F275" s="46"/>
      <c r="G275" s="46"/>
    </row>
    <row r="276" spans="1:7">
      <c r="B276" s="47">
        <f>G271</f>
        <v>0</v>
      </c>
      <c r="C276" s="46"/>
      <c r="D276" s="46"/>
      <c r="E276" s="46"/>
      <c r="F276" s="46"/>
      <c r="G276" s="46"/>
    </row>
    <row r="278" spans="1:7">
      <c r="A278" t="s">
        <v>222</v>
      </c>
    </row>
    <row r="279" spans="1:7">
      <c r="A279" s="13" t="s">
        <v>231</v>
      </c>
    </row>
    <row r="280" spans="1:7">
      <c r="A280" s="29" t="s">
        <v>185</v>
      </c>
      <c r="B280" s="29" t="s">
        <v>223</v>
      </c>
      <c r="C280" s="29" t="s">
        <v>224</v>
      </c>
      <c r="D280" s="29" t="s">
        <v>225</v>
      </c>
      <c r="E280" s="29" t="s">
        <v>228</v>
      </c>
      <c r="F280" s="29" t="s">
        <v>226</v>
      </c>
    </row>
    <row r="281" spans="1:7">
      <c r="A281" s="29" t="s">
        <v>189</v>
      </c>
      <c r="B281" s="4">
        <f>B219*2.4/9.81</f>
        <v>29.225277064220176</v>
      </c>
      <c r="C281" s="6">
        <f>(POWER(B216,2)+POWER(E41,2))/12</f>
        <v>2.840033333333333</v>
      </c>
      <c r="D281" s="24">
        <v>0</v>
      </c>
      <c r="E281" s="1">
        <f>B281*D281</f>
        <v>0</v>
      </c>
      <c r="F281" s="1">
        <f>C281*B281+E281</f>
        <v>83.000761038287436</v>
      </c>
    </row>
    <row r="282" spans="1:7">
      <c r="A282" s="13" t="s">
        <v>199</v>
      </c>
      <c r="B282" s="4">
        <f>B224/9.81</f>
        <v>2.1661569826707439</v>
      </c>
      <c r="C282" s="6">
        <f>106.25/9.81</f>
        <v>10.830784913353719</v>
      </c>
      <c r="D282" s="6">
        <v>5.33</v>
      </c>
      <c r="E282" s="1">
        <f t="shared" ref="E282" si="3">B282*D282</f>
        <v>11.545616717635065</v>
      </c>
      <c r="F282" s="1">
        <f>C282+E282</f>
        <v>22.376401630988784</v>
      </c>
    </row>
    <row r="283" spans="1:7">
      <c r="A283" s="29" t="s">
        <v>196</v>
      </c>
      <c r="B283" s="4">
        <f>SUM(B281:B282)</f>
        <v>31.391434046890922</v>
      </c>
      <c r="C283" s="6"/>
      <c r="D283" s="19"/>
      <c r="E283" s="44" t="s">
        <v>230</v>
      </c>
      <c r="F283" s="1">
        <f>SUM(F281:F282)</f>
        <v>105.37716266927622</v>
      </c>
      <c r="G283" s="13" t="s">
        <v>229</v>
      </c>
    </row>
    <row r="285" spans="1:7">
      <c r="A285" s="13" t="s">
        <v>232</v>
      </c>
    </row>
    <row r="286" spans="1:7">
      <c r="A286" s="29" t="s">
        <v>185</v>
      </c>
      <c r="B286" s="29" t="s">
        <v>223</v>
      </c>
      <c r="C286" s="29" t="s">
        <v>224</v>
      </c>
      <c r="D286" s="29" t="s">
        <v>225</v>
      </c>
      <c r="E286" s="29" t="s">
        <v>228</v>
      </c>
      <c r="F286" s="29" t="s">
        <v>226</v>
      </c>
    </row>
    <row r="287" spans="1:7">
      <c r="A287" s="29" t="s">
        <v>189</v>
      </c>
      <c r="B287" s="4">
        <f>B281</f>
        <v>29.225277064220176</v>
      </c>
      <c r="C287" s="6">
        <f>(POWER(D35,2)+POWER(E41,2))/12</f>
        <v>11.111841666666669</v>
      </c>
      <c r="D287" s="24">
        <v>0</v>
      </c>
      <c r="E287" s="1">
        <f>B287*D287</f>
        <v>0</v>
      </c>
      <c r="F287" s="1">
        <f>C287*B287+E287</f>
        <v>324.74665140207946</v>
      </c>
    </row>
    <row r="288" spans="1:7">
      <c r="A288" s="13" t="s">
        <v>199</v>
      </c>
      <c r="B288" s="4">
        <f t="shared" ref="B288" si="4">B282</f>
        <v>2.1661569826707439</v>
      </c>
      <c r="C288" s="6">
        <f>106.25/9.81</f>
        <v>10.830784913353719</v>
      </c>
      <c r="D288" s="6">
        <v>5.33</v>
      </c>
      <c r="E288" s="1">
        <f t="shared" ref="E288" si="5">B288*D288</f>
        <v>11.545616717635065</v>
      </c>
      <c r="F288" s="1">
        <f>C288+E288</f>
        <v>22.376401630988784</v>
      </c>
    </row>
    <row r="289" spans="1:7">
      <c r="A289" s="29" t="s">
        <v>196</v>
      </c>
      <c r="B289" s="4">
        <f>SUM(B287:B288)</f>
        <v>31.391434046890922</v>
      </c>
      <c r="C289" s="6"/>
      <c r="D289" s="19"/>
      <c r="E289" s="44" t="s">
        <v>230</v>
      </c>
      <c r="F289" s="1">
        <f>SUM(F287:F288)</f>
        <v>347.12305303306823</v>
      </c>
      <c r="G289" s="13" t="s">
        <v>229</v>
      </c>
    </row>
    <row r="290" spans="1:7">
      <c r="A290" s="29"/>
      <c r="B290" s="4"/>
      <c r="C290" s="6"/>
      <c r="D290" s="19"/>
      <c r="E290" s="44"/>
      <c r="F290" s="1"/>
      <c r="G290" s="13"/>
    </row>
    <row r="291" spans="1:7">
      <c r="A291" s="29"/>
      <c r="B291" s="4"/>
      <c r="C291" s="6"/>
      <c r="D291" s="19"/>
      <c r="E291" s="44"/>
      <c r="F291" s="1"/>
      <c r="G291" s="13"/>
    </row>
    <row r="292" spans="1:7">
      <c r="A292" s="13" t="s">
        <v>233</v>
      </c>
    </row>
    <row r="293" spans="1:7">
      <c r="A293" s="29" t="s">
        <v>185</v>
      </c>
      <c r="B293" s="29" t="s">
        <v>223</v>
      </c>
      <c r="C293" s="29" t="s">
        <v>224</v>
      </c>
      <c r="D293" s="29" t="s">
        <v>225</v>
      </c>
      <c r="E293" s="29" t="s">
        <v>228</v>
      </c>
      <c r="F293" s="29" t="s">
        <v>226</v>
      </c>
    </row>
    <row r="294" spans="1:7">
      <c r="A294" s="29" t="s">
        <v>189</v>
      </c>
      <c r="B294" s="4">
        <f>B287</f>
        <v>29.225277064220176</v>
      </c>
      <c r="C294" s="6">
        <f>(POWER(D35,2)+POWER(B35,2))/12</f>
        <v>13.350208333333333</v>
      </c>
      <c r="D294" s="24">
        <v>0</v>
      </c>
      <c r="E294" s="1">
        <f>B294*D294</f>
        <v>0</v>
      </c>
      <c r="F294" s="1">
        <f>C294*B294+E294</f>
        <v>390.1635374067277</v>
      </c>
    </row>
    <row r="295" spans="1:7">
      <c r="A295" s="29" t="s">
        <v>196</v>
      </c>
      <c r="B295" s="4">
        <f>SUM(B294:B294)</f>
        <v>29.225277064220176</v>
      </c>
      <c r="C295" s="6"/>
      <c r="D295" s="19"/>
      <c r="E295" s="44" t="s">
        <v>230</v>
      </c>
      <c r="F295" s="1">
        <f>SUM(F294:F294)</f>
        <v>390.1635374067277</v>
      </c>
      <c r="G295" s="13" t="s">
        <v>229</v>
      </c>
    </row>
    <row r="296" spans="1:7">
      <c r="A296" s="29"/>
      <c r="B296" s="4"/>
      <c r="C296" s="6"/>
      <c r="D296" s="19"/>
      <c r="E296" s="44"/>
      <c r="F296" s="1"/>
      <c r="G296" s="13"/>
    </row>
    <row r="297" spans="1:7">
      <c r="A297" s="13" t="s">
        <v>235</v>
      </c>
      <c r="C297" s="4">
        <f>B283+(B220+B221)*2.4/9.81</f>
        <v>40.815713924566765</v>
      </c>
      <c r="D297" s="13" t="s">
        <v>236</v>
      </c>
    </row>
    <row r="298" spans="1:7">
      <c r="A298" s="13" t="s">
        <v>234</v>
      </c>
      <c r="C298" s="4"/>
      <c r="D298" s="13"/>
      <c r="E298" s="13"/>
    </row>
    <row r="300" spans="1:7">
      <c r="B300" s="4">
        <f>C297</f>
        <v>40.815713924566765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</row>
    <row r="301" spans="1:7">
      <c r="B301" s="19">
        <v>0</v>
      </c>
      <c r="C301" s="4">
        <f>C297</f>
        <v>40.815713924566765</v>
      </c>
      <c r="D301" s="19">
        <v>0</v>
      </c>
      <c r="E301" s="19">
        <v>0</v>
      </c>
      <c r="F301" s="19">
        <v>0</v>
      </c>
      <c r="G301" s="19">
        <v>0</v>
      </c>
    </row>
    <row r="302" spans="1:7">
      <c r="A302" s="55" t="s">
        <v>237</v>
      </c>
      <c r="B302" s="19">
        <v>0</v>
      </c>
      <c r="C302" s="19">
        <v>0</v>
      </c>
      <c r="D302" s="4">
        <f>C297</f>
        <v>40.815713924566765</v>
      </c>
      <c r="E302" s="19">
        <v>0</v>
      </c>
      <c r="F302" s="19">
        <v>0</v>
      </c>
      <c r="G302" s="19">
        <v>0</v>
      </c>
    </row>
    <row r="303" spans="1:7">
      <c r="A303" s="56"/>
      <c r="B303" s="19">
        <v>0</v>
      </c>
      <c r="C303" s="19">
        <v>0</v>
      </c>
      <c r="D303" s="19">
        <v>0</v>
      </c>
      <c r="E303" s="4">
        <f>F283</f>
        <v>105.37716266927622</v>
      </c>
      <c r="F303" s="19">
        <v>0</v>
      </c>
      <c r="G303" s="19">
        <v>0</v>
      </c>
    </row>
    <row r="304" spans="1:7">
      <c r="B304" s="19">
        <v>0</v>
      </c>
      <c r="C304" s="19">
        <v>0</v>
      </c>
      <c r="D304" s="19">
        <v>0</v>
      </c>
      <c r="E304" s="19">
        <v>0</v>
      </c>
      <c r="F304" s="4">
        <f>F289</f>
        <v>347.12305303306823</v>
      </c>
      <c r="G304" s="19">
        <v>0</v>
      </c>
    </row>
    <row r="305" spans="1:7">
      <c r="B305" s="19">
        <v>0</v>
      </c>
      <c r="C305" s="19">
        <v>0</v>
      </c>
      <c r="D305" s="19">
        <v>0</v>
      </c>
      <c r="E305" s="19">
        <v>0</v>
      </c>
      <c r="F305" s="19">
        <v>0</v>
      </c>
      <c r="G305" s="6">
        <f>B41</f>
        <v>839.36497850000001</v>
      </c>
    </row>
    <row r="307" spans="1:7">
      <c r="A307" s="13" t="s">
        <v>238</v>
      </c>
    </row>
    <row r="309" spans="1:7">
      <c r="B309" s="46">
        <f>D80</f>
        <v>18365471.21125938</v>
      </c>
      <c r="C309" s="46">
        <v>0</v>
      </c>
      <c r="D309" s="46">
        <v>0</v>
      </c>
      <c r="E309" s="46">
        <v>0</v>
      </c>
      <c r="F309" s="46">
        <f>D80*E195</f>
        <v>-14692376.969007505</v>
      </c>
      <c r="G309" s="46">
        <f>-D80*E194</f>
        <v>-50688700.543075882</v>
      </c>
    </row>
    <row r="310" spans="1:7">
      <c r="B310" s="46">
        <v>0</v>
      </c>
      <c r="C310" s="46">
        <f>D81</f>
        <v>19443093.950915754</v>
      </c>
      <c r="D310" s="46">
        <v>0</v>
      </c>
      <c r="E310" s="46">
        <f>-D81*F208</f>
        <v>15554475.160732605</v>
      </c>
      <c r="F310" s="46">
        <v>0</v>
      </c>
      <c r="G310" s="46">
        <f>D81*F207</f>
        <v>110728420.05046523</v>
      </c>
    </row>
    <row r="311" spans="1:7">
      <c r="A311" s="55" t="s">
        <v>242</v>
      </c>
      <c r="B311" s="46">
        <v>0</v>
      </c>
      <c r="C311" s="46">
        <v>0</v>
      </c>
      <c r="D311" s="46">
        <f>C60</f>
        <v>13917614.008262623</v>
      </c>
      <c r="E311" s="46">
        <f>C60*F171</f>
        <v>38412614.662804827</v>
      </c>
      <c r="F311" s="46">
        <f>-C60*F170</f>
        <v>-79260811.777055636</v>
      </c>
      <c r="G311" s="46">
        <v>0</v>
      </c>
    </row>
    <row r="312" spans="1:7">
      <c r="A312" s="56"/>
      <c r="B312" s="46">
        <v>0</v>
      </c>
      <c r="C312" s="46">
        <f>E310</f>
        <v>15554475.160732605</v>
      </c>
      <c r="D312" s="46">
        <f>E311</f>
        <v>38412614.662804827</v>
      </c>
      <c r="E312" s="46">
        <f>D91+D81*POWER(F208,2)+C60*POWER(F171,2)</f>
        <v>328826907.89487684</v>
      </c>
      <c r="F312" s="46">
        <f>C60*F170*F171</f>
        <v>218759840.50467351</v>
      </c>
      <c r="G312" s="46">
        <f>-D81*F207*F208</f>
        <v>88582736.040372193</v>
      </c>
    </row>
    <row r="313" spans="1:7">
      <c r="B313" s="46">
        <f>F309</f>
        <v>-14692376.969007505</v>
      </c>
      <c r="C313" s="46">
        <v>0</v>
      </c>
      <c r="D313" s="46">
        <f>F311</f>
        <v>-79260811.777055636</v>
      </c>
      <c r="E313" s="46">
        <f>F312</f>
        <v>218759840.50467351</v>
      </c>
      <c r="F313" s="46">
        <f>D92+D80*POWER(E195,2)+C60*POWER(F170,2)</f>
        <v>1001666095.7166817</v>
      </c>
      <c r="G313" s="46">
        <f>-D80*E194*E195</f>
        <v>40550960.434460707</v>
      </c>
    </row>
    <row r="314" spans="1:7">
      <c r="B314" s="46">
        <f>G309</f>
        <v>-50688700.543075882</v>
      </c>
      <c r="C314" s="46">
        <f>G310</f>
        <v>110728420.05046523</v>
      </c>
      <c r="D314" s="46">
        <v>0</v>
      </c>
      <c r="E314" s="46">
        <f>G312</f>
        <v>88582736.040372193</v>
      </c>
      <c r="F314" s="46">
        <f>G313</f>
        <v>40550960.434460707</v>
      </c>
      <c r="G314" s="46">
        <f>E104+D80*POWER(E194,2)+D81*POWER(F207,2)</f>
        <v>1500082470.0852945</v>
      </c>
    </row>
    <row r="316" spans="1:7">
      <c r="B316" s="46">
        <f>B300*POWER($B$47,2)</f>
        <v>354380.18954976881</v>
      </c>
      <c r="C316" s="46">
        <f t="shared" ref="C316:G316" si="6">C300*POWER($B$47,2)</f>
        <v>0</v>
      </c>
      <c r="D316" s="46">
        <f t="shared" si="6"/>
        <v>0</v>
      </c>
      <c r="E316" s="46">
        <f t="shared" si="6"/>
        <v>0</v>
      </c>
      <c r="F316" s="46">
        <f t="shared" si="6"/>
        <v>0</v>
      </c>
      <c r="G316" s="46">
        <f t="shared" si="6"/>
        <v>0</v>
      </c>
    </row>
    <row r="317" spans="1:7">
      <c r="B317" s="46">
        <f t="shared" ref="B317:G321" si="7">B301*POWER($B$47,2)</f>
        <v>0</v>
      </c>
      <c r="C317" s="46">
        <f t="shared" si="7"/>
        <v>354380.18954976881</v>
      </c>
      <c r="D317" s="46">
        <f t="shared" si="7"/>
        <v>0</v>
      </c>
      <c r="E317" s="46">
        <f t="shared" si="7"/>
        <v>0</v>
      </c>
      <c r="F317" s="46">
        <f t="shared" si="7"/>
        <v>0</v>
      </c>
      <c r="G317" s="46">
        <f t="shared" si="7"/>
        <v>0</v>
      </c>
    </row>
    <row r="318" spans="1:7">
      <c r="A318" s="55" t="s">
        <v>240</v>
      </c>
      <c r="B318" s="46">
        <f t="shared" si="7"/>
        <v>0</v>
      </c>
      <c r="C318" s="46">
        <f t="shared" si="7"/>
        <v>0</v>
      </c>
      <c r="D318" s="46">
        <f t="shared" si="7"/>
        <v>354380.18954976881</v>
      </c>
      <c r="E318" s="46">
        <f t="shared" si="7"/>
        <v>0</v>
      </c>
      <c r="F318" s="46">
        <f t="shared" si="7"/>
        <v>0</v>
      </c>
      <c r="G318" s="46">
        <f t="shared" si="7"/>
        <v>0</v>
      </c>
    </row>
    <row r="319" spans="1:7">
      <c r="A319" s="56"/>
      <c r="B319" s="46">
        <f t="shared" si="7"/>
        <v>0</v>
      </c>
      <c r="C319" s="46">
        <f t="shared" si="7"/>
        <v>0</v>
      </c>
      <c r="D319" s="46">
        <f t="shared" si="7"/>
        <v>0</v>
      </c>
      <c r="E319" s="46">
        <f t="shared" si="7"/>
        <v>914931.41465003323</v>
      </c>
      <c r="F319" s="46">
        <f t="shared" si="7"/>
        <v>0</v>
      </c>
      <c r="G319" s="46">
        <f t="shared" si="7"/>
        <v>0</v>
      </c>
    </row>
    <row r="320" spans="1:7">
      <c r="B320" s="46">
        <f t="shared" si="7"/>
        <v>0</v>
      </c>
      <c r="C320" s="46">
        <f t="shared" si="7"/>
        <v>0</v>
      </c>
      <c r="D320" s="46">
        <f t="shared" si="7"/>
        <v>0</v>
      </c>
      <c r="E320" s="46">
        <f t="shared" si="7"/>
        <v>0</v>
      </c>
      <c r="F320" s="46">
        <f t="shared" si="7"/>
        <v>3013876.8014275008</v>
      </c>
      <c r="G320" s="46">
        <f t="shared" si="7"/>
        <v>0</v>
      </c>
    </row>
    <row r="321" spans="1:7">
      <c r="B321" s="46">
        <f t="shared" si="7"/>
        <v>0</v>
      </c>
      <c r="C321" s="46">
        <f t="shared" si="7"/>
        <v>0</v>
      </c>
      <c r="D321" s="46">
        <f t="shared" si="7"/>
        <v>0</v>
      </c>
      <c r="E321" s="46">
        <f t="shared" si="7"/>
        <v>0</v>
      </c>
      <c r="F321" s="46">
        <f t="shared" si="7"/>
        <v>0</v>
      </c>
      <c r="G321" s="46">
        <f t="shared" si="7"/>
        <v>7287740.2250516908</v>
      </c>
    </row>
    <row r="323" spans="1:7">
      <c r="B323" s="46">
        <f t="shared" ref="B323:G328" si="8">B309-B316</f>
        <v>18011091.02170961</v>
      </c>
      <c r="C323" s="46">
        <f t="shared" si="8"/>
        <v>0</v>
      </c>
      <c r="D323" s="46">
        <f t="shared" si="8"/>
        <v>0</v>
      </c>
      <c r="E323" s="46">
        <f t="shared" si="8"/>
        <v>0</v>
      </c>
      <c r="F323" s="46">
        <f t="shared" si="8"/>
        <v>-14692376.969007505</v>
      </c>
      <c r="G323" s="46">
        <f t="shared" si="8"/>
        <v>-50688700.543075882</v>
      </c>
    </row>
    <row r="324" spans="1:7">
      <c r="B324" s="46">
        <f t="shared" si="8"/>
        <v>0</v>
      </c>
      <c r="C324" s="46">
        <f t="shared" si="8"/>
        <v>19088713.761365984</v>
      </c>
      <c r="D324" s="46">
        <f t="shared" si="8"/>
        <v>0</v>
      </c>
      <c r="E324" s="46">
        <f t="shared" si="8"/>
        <v>15554475.160732605</v>
      </c>
      <c r="F324" s="46">
        <f t="shared" si="8"/>
        <v>0</v>
      </c>
      <c r="G324" s="46">
        <f t="shared" si="8"/>
        <v>110728420.05046523</v>
      </c>
    </row>
    <row r="325" spans="1:7">
      <c r="A325" s="55" t="s">
        <v>241</v>
      </c>
      <c r="B325" s="46">
        <f t="shared" si="8"/>
        <v>0</v>
      </c>
      <c r="C325" s="46">
        <f t="shared" si="8"/>
        <v>0</v>
      </c>
      <c r="D325" s="46">
        <f t="shared" si="8"/>
        <v>13563233.818712855</v>
      </c>
      <c r="E325" s="46">
        <f t="shared" si="8"/>
        <v>38412614.662804827</v>
      </c>
      <c r="F325" s="46">
        <f t="shared" si="8"/>
        <v>-79260811.777055636</v>
      </c>
      <c r="G325" s="46">
        <f t="shared" si="8"/>
        <v>0</v>
      </c>
    </row>
    <row r="326" spans="1:7">
      <c r="A326" s="56"/>
      <c r="B326" s="46">
        <f t="shared" si="8"/>
        <v>0</v>
      </c>
      <c r="C326" s="46">
        <f t="shared" si="8"/>
        <v>15554475.160732605</v>
      </c>
      <c r="D326" s="46">
        <f t="shared" si="8"/>
        <v>38412614.662804827</v>
      </c>
      <c r="E326" s="46">
        <f t="shared" si="8"/>
        <v>327911976.48022681</v>
      </c>
      <c r="F326" s="46">
        <f t="shared" si="8"/>
        <v>218759840.50467351</v>
      </c>
      <c r="G326" s="46">
        <f t="shared" si="8"/>
        <v>88582736.040372193</v>
      </c>
    </row>
    <row r="327" spans="1:7">
      <c r="B327" s="46">
        <f t="shared" si="8"/>
        <v>-14692376.969007505</v>
      </c>
      <c r="C327" s="46">
        <f t="shared" si="8"/>
        <v>0</v>
      </c>
      <c r="D327" s="46">
        <f t="shared" si="8"/>
        <v>-79260811.777055636</v>
      </c>
      <c r="E327" s="46">
        <f t="shared" si="8"/>
        <v>218759840.50467351</v>
      </c>
      <c r="F327" s="46">
        <f t="shared" si="8"/>
        <v>998652218.91525424</v>
      </c>
      <c r="G327" s="46">
        <f t="shared" si="8"/>
        <v>40550960.434460707</v>
      </c>
    </row>
    <row r="328" spans="1:7">
      <c r="B328" s="46">
        <f t="shared" si="8"/>
        <v>-50688700.543075882</v>
      </c>
      <c r="C328" s="46">
        <f t="shared" si="8"/>
        <v>110728420.05046523</v>
      </c>
      <c r="D328" s="46">
        <f t="shared" si="8"/>
        <v>0</v>
      </c>
      <c r="E328" s="46">
        <f t="shared" si="8"/>
        <v>88582736.040372193</v>
      </c>
      <c r="F328" s="46">
        <f t="shared" si="8"/>
        <v>40550960.434460707</v>
      </c>
      <c r="G328" s="46">
        <f t="shared" si="8"/>
        <v>1492794729.8602428</v>
      </c>
    </row>
    <row r="329" spans="1:7">
      <c r="B329" s="4"/>
      <c r="C329" s="4"/>
      <c r="D329" s="4"/>
      <c r="E329" s="4"/>
      <c r="F329" s="4"/>
      <c r="G329" s="4"/>
    </row>
    <row r="330" spans="1:7">
      <c r="B330" s="51">
        <f t="array" ref="B330:G335">MINVERSE(B323:G328)</f>
        <v>6.5197893723306866E-8</v>
      </c>
      <c r="C330" s="51">
        <v>-2.6420556956803675E-8</v>
      </c>
      <c r="D330" s="51">
        <v>-2.2506916590084835E-8</v>
      </c>
      <c r="E330" s="51">
        <v>4.067918406686761E-9</v>
      </c>
      <c r="F330" s="51">
        <v>-1.879960432816731E-9</v>
      </c>
      <c r="G330" s="51">
        <v>3.983260242949202E-9</v>
      </c>
    </row>
    <row r="331" spans="1:7">
      <c r="B331" s="51">
        <v>-2.6420556956803705E-8</v>
      </c>
      <c r="C331" s="51">
        <v>9.5914529994378386E-8</v>
      </c>
      <c r="D331" s="51">
        <v>-3.7986377996490234E-8</v>
      </c>
      <c r="E331" s="51">
        <v>4.8731394456378447E-9</v>
      </c>
      <c r="F331" s="51">
        <v>-4.138591210643679E-9</v>
      </c>
      <c r="G331" s="51">
        <v>-8.1883597243361127E-9</v>
      </c>
    </row>
    <row r="332" spans="1:7" ht="14.25">
      <c r="A332" s="29" t="s">
        <v>261</v>
      </c>
      <c r="B332" s="51">
        <v>-2.2506916590084852E-8</v>
      </c>
      <c r="C332" s="51">
        <v>-3.7986377996490234E-8</v>
      </c>
      <c r="D332" s="51">
        <v>-2.1953233990252821E-7</v>
      </c>
      <c r="E332" s="51">
        <v>4.60789054204824E-8</v>
      </c>
      <c r="F332" s="51">
        <v>-2.7851811877422117E-8</v>
      </c>
      <c r="G332" s="51">
        <v>7.5661755180777995E-11</v>
      </c>
    </row>
    <row r="333" spans="1:7">
      <c r="B333" s="51">
        <v>4.067918406686761E-9</v>
      </c>
      <c r="C333" s="51">
        <v>4.8731394456378447E-9</v>
      </c>
      <c r="D333" s="51">
        <v>4.6078905420482406E-8</v>
      </c>
      <c r="E333" s="51">
        <v>-5.9226820409180754E-9</v>
      </c>
      <c r="F333" s="51">
        <v>5.0147513810263271E-9</v>
      </c>
      <c r="G333" s="51">
        <v>-8.1077044738474713E-12</v>
      </c>
    </row>
    <row r="334" spans="1:7">
      <c r="B334" s="51">
        <v>-1.8799604328167289E-9</v>
      </c>
      <c r="C334" s="51">
        <v>-4.1385912106436781E-9</v>
      </c>
      <c r="D334" s="51">
        <v>-2.7851811877422117E-8</v>
      </c>
      <c r="E334" s="51">
        <v>5.0147513810263262E-9</v>
      </c>
      <c r="F334" s="51">
        <v>-2.3357182469930108E-9</v>
      </c>
      <c r="G334" s="51">
        <v>9.0180750470715369E-12</v>
      </c>
    </row>
    <row r="335" spans="1:7">
      <c r="B335" s="51">
        <v>3.9832602429491946E-9</v>
      </c>
      <c r="C335" s="51">
        <v>-8.1883597243361143E-9</v>
      </c>
      <c r="D335" s="51">
        <v>7.5661755180778409E-11</v>
      </c>
      <c r="E335" s="51">
        <v>-8.1077044738475908E-12</v>
      </c>
      <c r="F335" s="51">
        <v>9.0180750470715466E-12</v>
      </c>
      <c r="G335" s="51">
        <v>1.4127481090175776E-9</v>
      </c>
    </row>
    <row r="336" spans="1:7">
      <c r="B336" s="4"/>
      <c r="C336" s="4"/>
      <c r="D336" s="4"/>
      <c r="E336" s="4"/>
      <c r="F336" s="4"/>
      <c r="G336" s="4"/>
    </row>
    <row r="337" spans="1:7">
      <c r="A337" s="13" t="s">
        <v>244</v>
      </c>
    </row>
    <row r="338" spans="1:7">
      <c r="A338" s="14" t="s">
        <v>245</v>
      </c>
      <c r="B338" s="54">
        <f t="array" ref="B338:B343">MMULT(B330:G335,B271:B276)</f>
        <v>-1.7678472144156947E-8</v>
      </c>
      <c r="C338" s="13" t="s">
        <v>251</v>
      </c>
      <c r="D338" s="52">
        <f>B338*100000/2.54</f>
        <v>-6.9600284032113964E-4</v>
      </c>
      <c r="E338" s="13" t="s">
        <v>257</v>
      </c>
      <c r="F338" s="50">
        <f>D338/1000</f>
        <v>-6.9600284032113964E-7</v>
      </c>
      <c r="G338" s="13" t="s">
        <v>258</v>
      </c>
    </row>
    <row r="339" spans="1:7">
      <c r="A339" s="14" t="s">
        <v>260</v>
      </c>
      <c r="B339" s="54">
        <v>2.0930596804181005E-8</v>
      </c>
      <c r="C339" s="13" t="s">
        <v>251</v>
      </c>
      <c r="D339" s="52">
        <f t="shared" ref="D339:D340" si="9">B339*100000/2.54</f>
        <v>8.2403924425909476E-4</v>
      </c>
      <c r="E339" s="13" t="s">
        <v>257</v>
      </c>
      <c r="F339" s="50">
        <f>D339/1000</f>
        <v>8.240392442590948E-7</v>
      </c>
      <c r="G339" s="13" t="s">
        <v>258</v>
      </c>
    </row>
    <row r="340" spans="1:7">
      <c r="A340" s="14" t="s">
        <v>246</v>
      </c>
      <c r="B340" s="54">
        <v>-9.3046649478313851E-8</v>
      </c>
      <c r="C340" s="13" t="s">
        <v>251</v>
      </c>
      <c r="D340" s="52">
        <f t="shared" si="9"/>
        <v>-3.6632539164690491E-3</v>
      </c>
      <c r="E340" s="13" t="s">
        <v>257</v>
      </c>
      <c r="F340" s="50">
        <f>D340/1000</f>
        <v>-3.663253916469049E-6</v>
      </c>
      <c r="G340" s="13" t="s">
        <v>258</v>
      </c>
    </row>
    <row r="341" spans="1:7" ht="15.75">
      <c r="A341" s="14" t="s">
        <v>247</v>
      </c>
      <c r="B341" s="53">
        <v>1.8409990145727123E-8</v>
      </c>
      <c r="C341" s="13" t="s">
        <v>250</v>
      </c>
      <c r="D341" s="53">
        <f>DEGREES(B341)</f>
        <v>1.0548147362275996E-6</v>
      </c>
      <c r="E341" s="13" t="s">
        <v>252</v>
      </c>
      <c r="F341" s="14" t="s">
        <v>253</v>
      </c>
      <c r="G341">
        <f>SIN(B341)</f>
        <v>1.8409990145727123E-8</v>
      </c>
    </row>
    <row r="342" spans="1:7" ht="15.75">
      <c r="A342" s="14" t="s">
        <v>248</v>
      </c>
      <c r="B342" s="53">
        <v>-1.1558770745249088E-8</v>
      </c>
      <c r="C342" s="13" t="s">
        <v>250</v>
      </c>
      <c r="D342" s="53">
        <f t="shared" ref="D342:D343" si="10">DEGREES(B342)</f>
        <v>-6.6226878006205801E-7</v>
      </c>
      <c r="E342" s="13" t="s">
        <v>252</v>
      </c>
      <c r="F342" s="14" t="s">
        <v>253</v>
      </c>
      <c r="G342">
        <f t="shared" ref="G342:G343" si="11">SIN(B342)</f>
        <v>-1.1558770745249088E-8</v>
      </c>
    </row>
    <row r="343" spans="1:7" ht="15.75">
      <c r="A343" s="14" t="s">
        <v>249</v>
      </c>
      <c r="B343" s="53">
        <v>-2.9312795994714073E-9</v>
      </c>
      <c r="C343" s="13" t="s">
        <v>250</v>
      </c>
      <c r="D343" s="53">
        <f t="shared" si="10"/>
        <v>-1.6794994962251002E-7</v>
      </c>
      <c r="E343" s="13" t="s">
        <v>252</v>
      </c>
      <c r="F343" s="14" t="s">
        <v>253</v>
      </c>
      <c r="G343">
        <f t="shared" si="11"/>
        <v>-2.9312795994714073E-9</v>
      </c>
    </row>
    <row r="344" spans="1:7">
      <c r="A344" s="20"/>
    </row>
    <row r="345" spans="1:7">
      <c r="A345" s="14"/>
      <c r="B345" s="48"/>
      <c r="C345" s="13"/>
      <c r="D345" s="49"/>
      <c r="E345" s="13"/>
      <c r="F345" s="50"/>
      <c r="G345" s="13"/>
    </row>
    <row r="346" spans="1:7">
      <c r="A346" s="14"/>
      <c r="B346" s="48"/>
      <c r="C346" s="13"/>
      <c r="D346" s="49">
        <f>'Análisis ok'!D340-'Análisis ok 6G'!D340</f>
        <v>-1.0523668510421587E-2</v>
      </c>
      <c r="E346" s="13"/>
      <c r="F346" s="50"/>
      <c r="G346" s="13"/>
    </row>
    <row r="347" spans="1:7">
      <c r="A347" s="14"/>
      <c r="B347" s="48"/>
      <c r="C347" s="13"/>
      <c r="D347" s="49"/>
      <c r="E347" s="13"/>
      <c r="F347" s="50"/>
      <c r="G347" s="13"/>
    </row>
    <row r="348" spans="1:7">
      <c r="A348" s="14"/>
      <c r="B348" s="48"/>
      <c r="C348" s="13"/>
      <c r="E348" s="13"/>
      <c r="F348" s="14"/>
    </row>
    <row r="349" spans="1:7">
      <c r="A349" s="14"/>
      <c r="B349" s="48"/>
      <c r="C349" s="13"/>
      <c r="E349" s="13"/>
      <c r="F349" s="14"/>
    </row>
    <row r="350" spans="1:7">
      <c r="A350" s="14"/>
      <c r="B350" s="48"/>
      <c r="C350" s="13"/>
      <c r="E350" s="13"/>
      <c r="F350" s="14"/>
    </row>
  </sheetData>
  <mergeCells count="6">
    <mergeCell ref="A325:A326"/>
    <mergeCell ref="A2:G3"/>
    <mergeCell ref="A273:A274"/>
    <mergeCell ref="A302:A303"/>
    <mergeCell ref="A311:A312"/>
    <mergeCell ref="A318:A319"/>
  </mergeCells>
  <pageMargins left="0.98425196850393704" right="0.74803149606299213" top="0.98425196850393704" bottom="0.78740157480314965" header="0.39370078740157483" footer="0.39370078740157483"/>
  <pageSetup scale="98" orientation="portrait" horizontalDpi="4294967293" r:id="rId1"/>
  <headerFooter alignWithMargins="0">
    <oddHeader>&amp;CTesis de Maestría</oddHeader>
    <oddFooter>&amp;CIng Ulises Talonia Vargas</oddFooter>
  </headerFooter>
  <rowBreaks count="5" manualBreakCount="5">
    <brk id="48" max="16383" man="1"/>
    <brk id="93" max="6" man="1"/>
    <brk id="142" max="6" man="1"/>
    <brk id="190" max="6" man="1"/>
    <brk id="237" max="6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4:G12"/>
  <sheetViews>
    <sheetView topLeftCell="A10" workbookViewId="0">
      <selection activeCell="F35" sqref="F35"/>
    </sheetView>
  </sheetViews>
  <sheetFormatPr baseColWidth="10" defaultRowHeight="12.75"/>
  <sheetData>
    <row r="4" spans="1:7">
      <c r="B4" t="s">
        <v>265</v>
      </c>
      <c r="C4" s="19" t="s">
        <v>266</v>
      </c>
      <c r="D4" s="19" t="s">
        <v>267</v>
      </c>
      <c r="E4" s="19" t="s">
        <v>268</v>
      </c>
      <c r="F4" s="19" t="s">
        <v>271</v>
      </c>
      <c r="G4" s="19" t="s">
        <v>269</v>
      </c>
    </row>
    <row r="5" spans="1:7">
      <c r="C5" s="19">
        <v>1</v>
      </c>
      <c r="D5" s="19">
        <v>1.1000000000000001</v>
      </c>
      <c r="E5" s="19">
        <v>1.5</v>
      </c>
      <c r="F5" s="19">
        <v>3</v>
      </c>
      <c r="G5" s="19">
        <v>6</v>
      </c>
    </row>
    <row r="7" spans="1:7">
      <c r="A7" t="s">
        <v>257</v>
      </c>
      <c r="B7" t="str">
        <f>'Análisis ok 1.1G'!A338</f>
        <v>u =</v>
      </c>
      <c r="C7">
        <f>'Análisis ok'!D338</f>
        <v>-4.5771458113362373E-3</v>
      </c>
      <c r="D7">
        <f>'Análisis ok 1.1G'!D338</f>
        <v>-4.0632183101289437E-3</v>
      </c>
      <c r="E7">
        <f>'Análisis ok 1.5G'!D338</f>
        <v>-2.8493434392048494E-3</v>
      </c>
      <c r="F7">
        <f>'Análisis ok 3G'!D338</f>
        <v>-1.3663577791592238E-3</v>
      </c>
      <c r="G7">
        <f>'Análisis ok 6G'!D338</f>
        <v>-6.9600284032113964E-4</v>
      </c>
    </row>
    <row r="8" spans="1:7">
      <c r="A8" t="s">
        <v>257</v>
      </c>
      <c r="B8" t="str">
        <f>'Análisis ok 1.1G'!A339</f>
        <v>v =</v>
      </c>
      <c r="C8">
        <f>'Análisis ok'!D339</f>
        <v>8.4438946617451591E-3</v>
      </c>
      <c r="D8">
        <f>'Análisis ok 1.1G'!D339</f>
        <v>7.2915894808021934E-3</v>
      </c>
      <c r="E8">
        <f>'Análisis ok 1.5G'!D339</f>
        <v>4.6616790329561883E-3</v>
      </c>
      <c r="F8">
        <f>'Análisis ok 3G'!D339</f>
        <v>1.8981547960240403E-3</v>
      </c>
      <c r="G8">
        <f>'Análisis ok 6G'!D339</f>
        <v>8.2403924425909476E-4</v>
      </c>
    </row>
    <row r="9" spans="1:7">
      <c r="A9" t="s">
        <v>257</v>
      </c>
      <c r="B9" t="str">
        <f>'Análisis ok 1.1G'!A340</f>
        <v>w=</v>
      </c>
      <c r="C9">
        <f>'Análisis ok'!D340</f>
        <v>-1.4186922426890635E-2</v>
      </c>
      <c r="D9">
        <f>'Análisis ok 1.1G'!D340</f>
        <v>-1.3389556355716477E-2</v>
      </c>
      <c r="E9">
        <f>'Análisis ok 1.5G'!D340</f>
        <v>-1.1006962540882872E-2</v>
      </c>
      <c r="F9">
        <f>'Análisis ok 3G'!D340</f>
        <v>-6.3674141020142912E-3</v>
      </c>
      <c r="G9">
        <f>'Análisis ok 6G'!D340</f>
        <v>-3.6632539164690491E-3</v>
      </c>
    </row>
    <row r="10" spans="1:7">
      <c r="A10" t="s">
        <v>270</v>
      </c>
      <c r="B10" t="str">
        <f>'Análisis ok 1.1G'!A341</f>
        <v>qx=</v>
      </c>
      <c r="C10" s="53">
        <f>'Análisis ok'!B341</f>
        <v>7.1488900409701757E-8</v>
      </c>
      <c r="D10" s="53">
        <f>'Análisis ok 1.1G'!B341</f>
        <v>6.7530332694904887E-8</v>
      </c>
      <c r="E10" s="53">
        <f>'Análisis ok 1.5G'!B341</f>
        <v>5.5527587506524693E-8</v>
      </c>
      <c r="F10" s="53">
        <f>'Análisis ok 3G'!B341</f>
        <v>3.2285414258517414E-8</v>
      </c>
      <c r="G10" s="53">
        <f>'Análisis ok 6G'!B341</f>
        <v>1.8409990145727123E-8</v>
      </c>
    </row>
    <row r="11" spans="1:7">
      <c r="A11" t="s">
        <v>270</v>
      </c>
      <c r="B11" t="str">
        <f>'Análisis ok 1.1G'!A342</f>
        <v>qy=</v>
      </c>
      <c r="C11" s="53">
        <f>'Análisis ok'!B342</f>
        <v>-4.6874331992765723E-8</v>
      </c>
      <c r="D11" s="53">
        <f>'Análisis ok 1.1G'!B342</f>
        <v>-4.4039078652185736E-8</v>
      </c>
      <c r="E11" s="53">
        <f>'Análisis ok 1.5G'!B342</f>
        <v>-3.5735566013257717E-8</v>
      </c>
      <c r="F11" s="53">
        <f>'Análisis ok 3G'!B342</f>
        <v>-2.0434018049999043E-8</v>
      </c>
      <c r="G11" s="53">
        <f>'Análisis ok 6G'!B342</f>
        <v>-1.1558770745249088E-8</v>
      </c>
    </row>
    <row r="12" spans="1:7">
      <c r="A12" t="s">
        <v>270</v>
      </c>
      <c r="B12" t="str">
        <f>'Análisis ok 1.1G'!A343</f>
        <v>qz=</v>
      </c>
      <c r="C12" s="53">
        <f>'Análisis ok'!B343</f>
        <v>-2.3587469976543523E-8</v>
      </c>
      <c r="D12" s="53">
        <f>'Análisis ok 1.1G'!B343</f>
        <v>-2.0641001443929769E-8</v>
      </c>
      <c r="E12" s="53">
        <f>'Análisis ok 1.5G'!B343</f>
        <v>-1.3815815361905244E-8</v>
      </c>
      <c r="F12" s="53">
        <f>'Análisis ok 3G'!B343</f>
        <v>-6.1662736728455837E-9</v>
      </c>
      <c r="G12" s="53">
        <f>'Análisis ok 6G'!B343</f>
        <v>-2.9312795994714073E-9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 (2)</vt:lpstr>
      <vt:lpstr>Análisis ok</vt:lpstr>
      <vt:lpstr>Análisis ok 1.1G</vt:lpstr>
      <vt:lpstr>Análisis ok 1.5G</vt:lpstr>
      <vt:lpstr>Análisis ok 3G</vt:lpstr>
      <vt:lpstr>Análisis ok 6G</vt:lpstr>
      <vt:lpstr>Hoja4</vt:lpstr>
      <vt:lpstr>'Análisis ok'!Área_de_impresión</vt:lpstr>
      <vt:lpstr>'Análisis ok 1.1G'!Área_de_impresión</vt:lpstr>
      <vt:lpstr>'Análisis ok 1.5G'!Área_de_impresión</vt:lpstr>
      <vt:lpstr>'Análisis ok 3G'!Área_de_impresión</vt:lpstr>
      <vt:lpstr>'Análisis ok 6G'!Área_de_impresión</vt:lpstr>
      <vt:lpstr>'Hoja1 (2)'!Área_de_impresión</vt:lpstr>
    </vt:vector>
  </TitlesOfParts>
  <Company>CFE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Ulises Talonia Vargas</dc:creator>
  <cp:lastModifiedBy>Ulises Talonia V</cp:lastModifiedBy>
  <cp:lastPrinted>2008-05-30T07:38:18Z</cp:lastPrinted>
  <dcterms:created xsi:type="dcterms:W3CDTF">2007-11-09T19:10:52Z</dcterms:created>
  <dcterms:modified xsi:type="dcterms:W3CDTF">2008-05-30T08:22:00Z</dcterms:modified>
</cp:coreProperties>
</file>