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90" windowWidth="19875" windowHeight="6795" activeTab="3"/>
  </bookViews>
  <sheets>
    <sheet name="Carga por conduccion" sheetId="6" r:id="rId1"/>
    <sheet name="Carga ineterna y de producto" sheetId="2" r:id="rId2"/>
    <sheet name="Carga  por filtracion" sheetId="3" r:id="rId3"/>
    <sheet name="Resumen" sheetId="4" r:id="rId4"/>
  </sheets>
  <calcPr calcId="145621"/>
</workbook>
</file>

<file path=xl/calcChain.xml><?xml version="1.0" encoding="utf-8"?>
<calcChain xmlns="http://schemas.openxmlformats.org/spreadsheetml/2006/main">
  <c r="E17" i="4" l="1"/>
  <c r="E19" i="4" s="1"/>
  <c r="E20" i="4" s="1"/>
  <c r="E22" i="4" s="1"/>
  <c r="H30" i="4" s="1"/>
  <c r="E14" i="4"/>
  <c r="H29" i="4"/>
  <c r="H28" i="4"/>
  <c r="H31" i="4" l="1"/>
  <c r="H32" i="4"/>
  <c r="H33" i="4"/>
  <c r="H35" i="4" l="1"/>
  <c r="H34" i="4"/>
  <c r="G15" i="3" l="1"/>
  <c r="E8" i="4" l="1"/>
  <c r="Q11" i="2"/>
  <c r="R11" i="2" s="1"/>
  <c r="Q10" i="2"/>
  <c r="R10" i="2" s="1"/>
  <c r="Q9" i="2"/>
  <c r="R9" i="2" s="1"/>
  <c r="Q8" i="2"/>
  <c r="R8" i="2" s="1"/>
  <c r="Q7" i="2"/>
  <c r="R7" i="2" s="1"/>
  <c r="B17" i="3"/>
  <c r="B19" i="3" s="1"/>
  <c r="R12" i="2" l="1"/>
  <c r="Q15" i="2" s="1"/>
  <c r="E6" i="4" s="1"/>
  <c r="S27" i="6"/>
  <c r="L47" i="6"/>
  <c r="E47" i="6"/>
  <c r="L27" i="6"/>
  <c r="E27" i="6"/>
  <c r="L41" i="6"/>
  <c r="L40" i="6"/>
  <c r="L39" i="6"/>
  <c r="L38" i="6"/>
  <c r="L37" i="6"/>
  <c r="E41" i="6"/>
  <c r="E40" i="6"/>
  <c r="E39" i="6"/>
  <c r="E38" i="6"/>
  <c r="E37" i="6"/>
  <c r="L21" i="6"/>
  <c r="L20" i="6"/>
  <c r="L19" i="6"/>
  <c r="L18" i="6"/>
  <c r="L17" i="6"/>
  <c r="E9" i="6"/>
  <c r="S26" i="6" s="1"/>
  <c r="E8" i="6"/>
  <c r="E26" i="6" s="1"/>
  <c r="E7" i="6"/>
  <c r="E46" i="6" s="1"/>
  <c r="S23" i="6"/>
  <c r="S21" i="6"/>
  <c r="E21" i="6"/>
  <c r="S20" i="6"/>
  <c r="E20" i="6"/>
  <c r="S19" i="6"/>
  <c r="E19" i="6"/>
  <c r="S18" i="6"/>
  <c r="E18" i="6"/>
  <c r="S17" i="6"/>
  <c r="E17" i="6"/>
  <c r="L42" i="6" l="1"/>
  <c r="L43" i="6" s="1"/>
  <c r="L26" i="6"/>
  <c r="E42" i="6"/>
  <c r="E43" i="6" s="1"/>
  <c r="L46" i="6"/>
  <c r="L22" i="6"/>
  <c r="L23" i="6" s="1"/>
  <c r="E48" i="6"/>
  <c r="S24" i="6"/>
  <c r="S25" i="6" s="1"/>
  <c r="E22" i="6"/>
  <c r="E23" i="6" s="1"/>
  <c r="E28" i="6" s="1"/>
  <c r="L48" i="6" l="1"/>
  <c r="L49" i="6" s="1"/>
  <c r="L28" i="6"/>
  <c r="E29" i="6"/>
  <c r="R5" i="6"/>
  <c r="E49" i="6"/>
  <c r="R7" i="6"/>
  <c r="L29" i="6"/>
  <c r="R6" i="6"/>
  <c r="S28" i="6"/>
  <c r="R4" i="6" l="1"/>
  <c r="R9" i="6"/>
  <c r="E4" i="4" s="1"/>
  <c r="S29" i="6"/>
  <c r="R8" i="6"/>
  <c r="F28" i="2"/>
  <c r="F27" i="2"/>
  <c r="F26" i="2"/>
  <c r="F25" i="2"/>
  <c r="F24" i="2"/>
  <c r="F23" i="2"/>
  <c r="F22" i="2"/>
  <c r="F21" i="2"/>
  <c r="F20" i="2"/>
  <c r="F19" i="2"/>
  <c r="G31" i="2" l="1"/>
  <c r="G16" i="3" l="1"/>
  <c r="G20" i="2"/>
  <c r="G21" i="2"/>
  <c r="G22" i="2"/>
  <c r="G23" i="2"/>
  <c r="G24" i="2"/>
  <c r="G25" i="2"/>
  <c r="G26" i="2"/>
  <c r="G27" i="2"/>
  <c r="G28" i="2"/>
  <c r="G19" i="2"/>
  <c r="G8" i="2"/>
  <c r="G9" i="2"/>
  <c r="G10" i="2"/>
  <c r="G7" i="2"/>
  <c r="G12" i="2" l="1"/>
  <c r="G17" i="3"/>
  <c r="G30" i="2"/>
  <c r="G32" i="2" s="1"/>
  <c r="F30" i="2"/>
  <c r="G18" i="3" l="1"/>
  <c r="E5" i="4" s="1"/>
  <c r="F32" i="2"/>
  <c r="E7" i="4" s="1"/>
  <c r="E9" i="4" l="1"/>
  <c r="E10" i="4" s="1"/>
</calcChain>
</file>

<file path=xl/sharedStrings.xml><?xml version="1.0" encoding="utf-8"?>
<sst xmlns="http://schemas.openxmlformats.org/spreadsheetml/2006/main" count="321" uniqueCount="179">
  <si>
    <t>Total</t>
  </si>
  <si>
    <t>Tipo</t>
  </si>
  <si>
    <t>Cantidad</t>
  </si>
  <si>
    <t>Luminarias</t>
  </si>
  <si>
    <t>Grua</t>
  </si>
  <si>
    <t>Motores</t>
  </si>
  <si>
    <t>Molienda</t>
  </si>
  <si>
    <t>W/m2 K</t>
  </si>
  <si>
    <t>K</t>
  </si>
  <si>
    <t>m2 K/ W</t>
  </si>
  <si>
    <t>Σ M</t>
  </si>
  <si>
    <t>Conveccion interior</t>
  </si>
  <si>
    <t>Convección interior</t>
  </si>
  <si>
    <t>Impermeabilizante</t>
  </si>
  <si>
    <t>Mortero de cal interior</t>
  </si>
  <si>
    <t>Ladrillo Rojo</t>
  </si>
  <si>
    <t>Losa de concreto</t>
  </si>
  <si>
    <t>Mortero de cal exterior</t>
  </si>
  <si>
    <t>Conveccion exterior</t>
  </si>
  <si>
    <t>Convección exterior</t>
  </si>
  <si>
    <t>Espesor [m]</t>
  </si>
  <si>
    <t xml:space="preserve">Material </t>
  </si>
  <si>
    <t>Aislamiento Térmico [m2K/W]</t>
  </si>
  <si>
    <t>Conductividad Térmica [w/mK]</t>
  </si>
  <si>
    <t>Actividad</t>
  </si>
  <si>
    <t>Numero</t>
  </si>
  <si>
    <t>Interior del cuarto frio</t>
  </si>
  <si>
    <t>Fluido</t>
  </si>
  <si>
    <t>Presion (Pa)</t>
  </si>
  <si>
    <t>Temp (C)</t>
  </si>
  <si>
    <t>Entalpia</t>
  </si>
  <si>
    <t>Entropia</t>
  </si>
  <si>
    <t>Exterior del cuarto frio</t>
  </si>
  <si>
    <t>Base</t>
  </si>
  <si>
    <t>Altura</t>
  </si>
  <si>
    <t>Area</t>
  </si>
  <si>
    <t>(C)</t>
  </si>
  <si>
    <t>(Pa)</t>
  </si>
  <si>
    <t>kJ/kg</t>
  </si>
  <si>
    <t>Puerta de cuarto frio</t>
  </si>
  <si>
    <t>Flujo masico</t>
  </si>
  <si>
    <t>Energia</t>
  </si>
  <si>
    <t>Densidad</t>
  </si>
  <si>
    <t>kg/m3</t>
  </si>
  <si>
    <t>m</t>
  </si>
  <si>
    <t>m/s</t>
  </si>
  <si>
    <t>Vel fluido</t>
  </si>
  <si>
    <t>kg/s</t>
  </si>
  <si>
    <t>Energia intercambiada</t>
  </si>
  <si>
    <t>Aire</t>
  </si>
  <si>
    <t>Empacador</t>
  </si>
  <si>
    <t>Pertenencia</t>
  </si>
  <si>
    <t>Acomodador</t>
  </si>
  <si>
    <t>Totales</t>
  </si>
  <si>
    <t>Energia de operacion (W)</t>
  </si>
  <si>
    <t>Eficiencia (%)</t>
  </si>
  <si>
    <t>Ganancia calorifica (W)</t>
  </si>
  <si>
    <t>UNAM</t>
  </si>
  <si>
    <t>FUD</t>
  </si>
  <si>
    <t>LALA</t>
  </si>
  <si>
    <t>ALPURA</t>
  </si>
  <si>
    <t>JUMEX</t>
  </si>
  <si>
    <t>DANONE</t>
  </si>
  <si>
    <t xml:space="preserve">UNAM </t>
  </si>
  <si>
    <t>Salchichone</t>
  </si>
  <si>
    <t>Acomodad</t>
  </si>
  <si>
    <t>VILLITA</t>
  </si>
  <si>
    <t>BONAFINA</t>
  </si>
  <si>
    <t>Carga termica (W)</t>
  </si>
  <si>
    <t>Temperatuta de cuarto frio C</t>
  </si>
  <si>
    <t xml:space="preserve">Total </t>
  </si>
  <si>
    <t>Horas diarias</t>
  </si>
  <si>
    <t>Carga termica total (W /h)</t>
  </si>
  <si>
    <t>Horas de operacion diarias</t>
  </si>
  <si>
    <t>m2</t>
  </si>
  <si>
    <t>Diferencia de entalpias</t>
  </si>
  <si>
    <t>Porcentaje de personas en activo a la vez</t>
  </si>
  <si>
    <t>Total efectivo</t>
  </si>
  <si>
    <t xml:space="preserve">Resumen </t>
  </si>
  <si>
    <t>Embutidos</t>
  </si>
  <si>
    <t>kJ/s</t>
  </si>
  <si>
    <t>Perdidas por conduccion en techo</t>
  </si>
  <si>
    <t>Conductividad  [w/mK]</t>
  </si>
  <si>
    <t>Aislamiento [m2K/W]</t>
  </si>
  <si>
    <t>Area de muros</t>
  </si>
  <si>
    <t>Area de techo</t>
  </si>
  <si>
    <t>Gradiente de temperatura</t>
  </si>
  <si>
    <t>C</t>
  </si>
  <si>
    <t>Energia perdida por conduccion en pared</t>
  </si>
  <si>
    <t>Energia perdida por conduccion en techo</t>
  </si>
  <si>
    <t>Energia perdida diaria</t>
  </si>
  <si>
    <t>kwh/dia</t>
  </si>
  <si>
    <t>Altura de cuarto</t>
  </si>
  <si>
    <t>Ancho de cuarto</t>
  </si>
  <si>
    <t>Largo de cuarto</t>
  </si>
  <si>
    <t>Temperatura interior</t>
  </si>
  <si>
    <t>Perdidas por conduccion en muro sur</t>
  </si>
  <si>
    <t>Perdidas por conduccion en muro este</t>
  </si>
  <si>
    <t>Perdidas por conduccion en muro oeste</t>
  </si>
  <si>
    <t>Perdidas por conduccion en muro norte</t>
  </si>
  <si>
    <t>Area muros norte y sur</t>
  </si>
  <si>
    <t>Area muro este y oeste</t>
  </si>
  <si>
    <t>Temperatura sur (exterior)</t>
  </si>
  <si>
    <t>Temperatura norte (interior)</t>
  </si>
  <si>
    <t>Temperatura este (interior)</t>
  </si>
  <si>
    <t>Temperatura oeste (interior)</t>
  </si>
  <si>
    <t>Temperatura atico</t>
  </si>
  <si>
    <t>Energia a disipar muro norte</t>
  </si>
  <si>
    <t>Energia a disipar muro sur</t>
  </si>
  <si>
    <t>Energia a disipar muro este</t>
  </si>
  <si>
    <t>Energia a disipar muro oeste</t>
  </si>
  <si>
    <t>Energia a disipar techo</t>
  </si>
  <si>
    <t>kW</t>
  </si>
  <si>
    <t>Tipo de producto</t>
  </si>
  <si>
    <t>Jugo de frutas</t>
  </si>
  <si>
    <t>Yoghurt y crema</t>
  </si>
  <si>
    <t>Leche</t>
  </si>
  <si>
    <t>Queso</t>
  </si>
  <si>
    <t>Masa de producto (kg)</t>
  </si>
  <si>
    <t>CP de producto (Kj/kgK)</t>
  </si>
  <si>
    <t>Q de producto (kJ)</t>
  </si>
  <si>
    <t>T1 (C)</t>
  </si>
  <si>
    <t>T2 (C)</t>
  </si>
  <si>
    <t>Factor de embalaje</t>
  </si>
  <si>
    <t>Total de energia a disipar</t>
  </si>
  <si>
    <t>Tiempo de enfriado (s)</t>
  </si>
  <si>
    <t>Energia de producto (W)</t>
  </si>
  <si>
    <t>%</t>
  </si>
  <si>
    <t>Dimensiones de cuarto</t>
  </si>
  <si>
    <t>Temperaturas</t>
  </si>
  <si>
    <t>Resumen de energia</t>
  </si>
  <si>
    <t>Carga termica del producto</t>
  </si>
  <si>
    <t>Carga termica por conduccion</t>
  </si>
  <si>
    <t>Carga termica por filtracion</t>
  </si>
  <si>
    <t>Carga termica de personal</t>
  </si>
  <si>
    <t>Carga termica de equipo electrico</t>
  </si>
  <si>
    <t>Carga termica total a disipar en cuarto frio</t>
  </si>
  <si>
    <t xml:space="preserve">Ton </t>
  </si>
  <si>
    <t>Factor de puerta</t>
  </si>
  <si>
    <t xml:space="preserve">Carga termica del personal </t>
  </si>
  <si>
    <t>BENEFICIO ANUAL NETO</t>
  </si>
  <si>
    <t>pesos/año</t>
  </si>
  <si>
    <t>TOTAL COSTO DE INVERSIÓN</t>
  </si>
  <si>
    <t>pesos</t>
  </si>
  <si>
    <t>RESUMEN DEL CÁLCULO DE ANÁLISIS DE PRIMER NIVEL</t>
  </si>
  <si>
    <t>VIDA ÚTIL</t>
  </si>
  <si>
    <t>VU</t>
  </si>
  <si>
    <t>años</t>
  </si>
  <si>
    <t>TASA DE DESCUENTO</t>
  </si>
  <si>
    <t>TD</t>
  </si>
  <si>
    <t>FACTOR DE VALOR PRESENTE</t>
  </si>
  <si>
    <t>FVP=((1+TD)^VU-1)/(TD*(1+TD)^VU)</t>
  </si>
  <si>
    <t>VALOR NETO DE INVERSIÓN</t>
  </si>
  <si>
    <t>VNI</t>
  </si>
  <si>
    <t>BAN</t>
  </si>
  <si>
    <t>TIEMPO DE RETORNO SIMPLE (Pay-back)</t>
  </si>
  <si>
    <t>VNI/BAN</t>
  </si>
  <si>
    <t>meses</t>
  </si>
  <si>
    <r>
      <t xml:space="preserve">TASA DE RETORNO DE INVERSIÓN </t>
    </r>
    <r>
      <rPr>
        <sz val="9"/>
        <color theme="1"/>
        <rFont val="Calibri"/>
        <family val="2"/>
        <scheme val="minor"/>
      </rPr>
      <t>ROI</t>
    </r>
  </si>
  <si>
    <t>(BAN-AMA)/VNI*100</t>
  </si>
  <si>
    <t>VALOR ACTUALIZADO DE LOS BENEFICIOS</t>
  </si>
  <si>
    <t>RNO=FVP*BAN</t>
  </si>
  <si>
    <t>BENEFICIO NETO VPN</t>
  </si>
  <si>
    <t>VPN=RNO-VNI</t>
  </si>
  <si>
    <t>RELACIÓN BENEFICIO COSTO</t>
  </si>
  <si>
    <t>RBC=RNO/VNI</t>
  </si>
  <si>
    <t>veces</t>
  </si>
  <si>
    <t>kwh</t>
  </si>
  <si>
    <t>Costo integrado</t>
  </si>
  <si>
    <t>$/kWh</t>
  </si>
  <si>
    <t>Ahorro mensual</t>
  </si>
  <si>
    <t>Ahorro anual</t>
  </si>
  <si>
    <t>Energia a disipar</t>
  </si>
  <si>
    <t>COP de nuevo equipo de refrigeracion</t>
  </si>
  <si>
    <t>Potencia promedio futuro</t>
  </si>
  <si>
    <t>Potencia promedio actual</t>
  </si>
  <si>
    <t>Horas de operacion mensuales</t>
  </si>
  <si>
    <t>h</t>
  </si>
  <si>
    <t xml:space="preserve">Analisis economico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</si>
</sst>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11" fontId="2" fillId="0" borderId="1" xfId="0" applyNumberFormat="1" applyFont="1" applyBorder="1" applyAlignment="1"/>
    <xf numFmtId="0" fontId="2" fillId="0" borderId="5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1" fontId="2" fillId="0" borderId="5" xfId="0" applyNumberFormat="1" applyFont="1" applyBorder="1" applyAlignment="1"/>
    <xf numFmtId="0" fontId="3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3" borderId="6" xfId="0" applyFill="1" applyBorder="1"/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" fillId="0" borderId="1" xfId="0" applyFont="1" applyBorder="1"/>
    <xf numFmtId="0" fontId="0" fillId="3" borderId="9" xfId="0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1"/>
    <xf numFmtId="0" fontId="1" fillId="4" borderId="6" xfId="0" applyFont="1" applyFill="1" applyBorder="1"/>
    <xf numFmtId="0" fontId="0" fillId="4" borderId="5" xfId="0" applyFill="1" applyBorder="1"/>
    <xf numFmtId="0" fontId="0" fillId="4" borderId="1" xfId="0" applyFill="1" applyBorder="1"/>
    <xf numFmtId="0" fontId="2" fillId="0" borderId="1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8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Fill="1" applyBorder="1" applyAlignment="1"/>
    <xf numFmtId="0" fontId="0" fillId="0" borderId="0" xfId="0" applyBorder="1"/>
    <xf numFmtId="0" fontId="0" fillId="0" borderId="1" xfId="0" applyFill="1" applyBorder="1"/>
    <xf numFmtId="0" fontId="1" fillId="0" borderId="1" xfId="0" applyFont="1" applyFill="1" applyBorder="1"/>
    <xf numFmtId="0" fontId="0" fillId="4" borderId="9" xfId="0" applyFill="1" applyBorder="1"/>
    <xf numFmtId="0" fontId="1" fillId="2" borderId="6" xfId="0" applyFont="1" applyFill="1" applyBorder="1"/>
    <xf numFmtId="0" fontId="0" fillId="2" borderId="9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7" fillId="0" borderId="0" xfId="0" applyFont="1" applyBorder="1"/>
    <xf numFmtId="3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5" xfId="0" applyFont="1" applyBorder="1"/>
    <xf numFmtId="0" fontId="7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7" fillId="0" borderId="13" xfId="0" applyFont="1" applyBorder="1"/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7" fillId="0" borderId="15" xfId="0" applyFont="1" applyBorder="1"/>
    <xf numFmtId="0" fontId="2" fillId="0" borderId="3" xfId="0" applyFont="1" applyBorder="1" applyAlignment="1">
      <alignment horizontal="right"/>
    </xf>
    <xf numFmtId="0" fontId="2" fillId="0" borderId="17" xfId="0" applyFont="1" applyBorder="1"/>
    <xf numFmtId="0" fontId="7" fillId="0" borderId="18" xfId="0" applyFont="1" applyBorder="1"/>
    <xf numFmtId="0" fontId="2" fillId="0" borderId="18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0" xfId="0" applyFont="1" applyFill="1" applyBorder="1"/>
    <xf numFmtId="0" fontId="2" fillId="0" borderId="0" xfId="0" applyFont="1"/>
    <xf numFmtId="0" fontId="8" fillId="0" borderId="0" xfId="0" applyFont="1"/>
    <xf numFmtId="4" fontId="9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" fontId="6" fillId="5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1" fillId="3" borderId="6" xfId="0" applyFont="1" applyFill="1" applyBorder="1"/>
    <xf numFmtId="0" fontId="0" fillId="0" borderId="8" xfId="0" applyBorder="1"/>
    <xf numFmtId="0" fontId="0" fillId="0" borderId="2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topLeftCell="A7" zoomScale="75" zoomScaleNormal="75" workbookViewId="0">
      <selection activeCell="E9" sqref="E9"/>
    </sheetView>
  </sheetViews>
  <sheetFormatPr baseColWidth="10" defaultRowHeight="15" x14ac:dyDescent="0.25"/>
  <sheetData>
    <row r="2" spans="1:20" x14ac:dyDescent="0.25">
      <c r="A2" s="38" t="s">
        <v>128</v>
      </c>
      <c r="B2" s="53"/>
      <c r="C2" s="39"/>
      <c r="H2" s="38" t="s">
        <v>129</v>
      </c>
      <c r="I2" s="53"/>
      <c r="J2" s="39"/>
      <c r="O2" s="54" t="s">
        <v>130</v>
      </c>
      <c r="P2" s="55"/>
      <c r="Q2" s="56"/>
    </row>
    <row r="4" spans="1:20" x14ac:dyDescent="0.25">
      <c r="A4" t="s">
        <v>92</v>
      </c>
      <c r="E4">
        <v>3.2</v>
      </c>
      <c r="F4" t="s">
        <v>44</v>
      </c>
      <c r="H4" t="s">
        <v>95</v>
      </c>
      <c r="L4">
        <v>7</v>
      </c>
      <c r="M4" t="s">
        <v>87</v>
      </c>
      <c r="O4" t="s">
        <v>107</v>
      </c>
      <c r="R4">
        <f>(L48)</f>
        <v>9.9169151805203193E-2</v>
      </c>
      <c r="S4" s="1" t="s">
        <v>112</v>
      </c>
    </row>
    <row r="5" spans="1:20" x14ac:dyDescent="0.25">
      <c r="A5" t="s">
        <v>93</v>
      </c>
      <c r="E5">
        <v>3.3</v>
      </c>
      <c r="F5" t="s">
        <v>44</v>
      </c>
      <c r="H5" t="s">
        <v>102</v>
      </c>
      <c r="L5">
        <v>4</v>
      </c>
      <c r="M5" t="s">
        <v>87</v>
      </c>
      <c r="O5" t="s">
        <v>108</v>
      </c>
      <c r="R5">
        <f>(E28)</f>
        <v>-7.4376863853902395E-2</v>
      </c>
      <c r="S5" s="1" t="s">
        <v>112</v>
      </c>
    </row>
    <row r="6" spans="1:20" x14ac:dyDescent="0.25">
      <c r="A6" t="s">
        <v>94</v>
      </c>
      <c r="E6">
        <v>4.0999999999999996</v>
      </c>
      <c r="F6" t="s">
        <v>44</v>
      </c>
      <c r="H6" t="s">
        <v>103</v>
      </c>
      <c r="L6">
        <v>11</v>
      </c>
      <c r="M6" t="s">
        <v>87</v>
      </c>
      <c r="O6" t="s">
        <v>109</v>
      </c>
      <c r="R6">
        <f>(L28)</f>
        <v>0.15401269787929284</v>
      </c>
      <c r="S6" s="1" t="s">
        <v>112</v>
      </c>
    </row>
    <row r="7" spans="1:20" x14ac:dyDescent="0.25">
      <c r="A7" t="s">
        <v>100</v>
      </c>
      <c r="E7">
        <f>(E4*E6)</f>
        <v>13.12</v>
      </c>
      <c r="F7" t="s">
        <v>74</v>
      </c>
      <c r="H7" t="s">
        <v>104</v>
      </c>
      <c r="L7">
        <v>12</v>
      </c>
      <c r="M7" t="s">
        <v>87</v>
      </c>
      <c r="O7" t="s">
        <v>110</v>
      </c>
      <c r="R7">
        <f>(E48)</f>
        <v>-0.15401269787929284</v>
      </c>
      <c r="S7" s="1" t="s">
        <v>112</v>
      </c>
    </row>
    <row r="8" spans="1:20" x14ac:dyDescent="0.25">
      <c r="A8" t="s">
        <v>101</v>
      </c>
      <c r="E8">
        <f>(E5*E4)</f>
        <v>10.56</v>
      </c>
      <c r="F8" t="s">
        <v>74</v>
      </c>
      <c r="H8" t="s">
        <v>105</v>
      </c>
      <c r="L8">
        <v>2</v>
      </c>
      <c r="M8" t="s">
        <v>87</v>
      </c>
      <c r="O8" t="s">
        <v>111</v>
      </c>
      <c r="R8">
        <f>(S28)</f>
        <v>0.32173871668538262</v>
      </c>
      <c r="S8" s="1" t="s">
        <v>112</v>
      </c>
    </row>
    <row r="9" spans="1:20" x14ac:dyDescent="0.25">
      <c r="A9" t="s">
        <v>85</v>
      </c>
      <c r="E9">
        <f>(E6*E5)</f>
        <v>13.529999999999998</v>
      </c>
      <c r="F9" t="s">
        <v>74</v>
      </c>
      <c r="H9" t="s">
        <v>106</v>
      </c>
      <c r="L9">
        <v>19</v>
      </c>
      <c r="M9" t="s">
        <v>87</v>
      </c>
      <c r="O9" s="11" t="s">
        <v>0</v>
      </c>
      <c r="P9" s="11"/>
      <c r="Q9" s="11"/>
      <c r="R9" s="11">
        <f>(SUM(R4:R8))</f>
        <v>0.3465310046366834</v>
      </c>
      <c r="S9" s="10" t="s">
        <v>112</v>
      </c>
    </row>
    <row r="12" spans="1:20" x14ac:dyDescent="0.25">
      <c r="A12" s="38" t="s">
        <v>96</v>
      </c>
      <c r="B12" s="39"/>
      <c r="C12" s="40"/>
      <c r="H12" s="38" t="s">
        <v>97</v>
      </c>
      <c r="I12" s="39"/>
      <c r="J12" s="40"/>
      <c r="O12" s="38" t="s">
        <v>81</v>
      </c>
      <c r="P12" s="39"/>
      <c r="Q12" s="40"/>
    </row>
    <row r="14" spans="1:20" ht="36.75" x14ac:dyDescent="0.25">
      <c r="A14" s="2" t="s">
        <v>21</v>
      </c>
      <c r="B14" s="2"/>
      <c r="C14" s="2" t="s">
        <v>20</v>
      </c>
      <c r="D14" s="36" t="s">
        <v>82</v>
      </c>
      <c r="E14" s="35" t="s">
        <v>83</v>
      </c>
      <c r="H14" s="2" t="s">
        <v>21</v>
      </c>
      <c r="I14" s="2"/>
      <c r="J14" s="2" t="s">
        <v>20</v>
      </c>
      <c r="K14" s="36" t="s">
        <v>82</v>
      </c>
      <c r="L14" s="35" t="s">
        <v>83</v>
      </c>
      <c r="O14" s="2" t="s">
        <v>21</v>
      </c>
      <c r="P14" s="2"/>
      <c r="Q14" s="2" t="s">
        <v>20</v>
      </c>
      <c r="R14" s="36" t="s">
        <v>23</v>
      </c>
      <c r="S14" s="35" t="s">
        <v>22</v>
      </c>
      <c r="T14" s="2"/>
    </row>
    <row r="15" spans="1:20" x14ac:dyDescent="0.25">
      <c r="A15" s="2"/>
      <c r="B15" s="2"/>
      <c r="C15" s="2"/>
      <c r="D15" s="2"/>
      <c r="E15" s="2"/>
      <c r="H15" s="2"/>
      <c r="I15" s="2"/>
      <c r="J15" s="2"/>
      <c r="K15" s="2"/>
      <c r="L15" s="2"/>
      <c r="R15" s="36"/>
      <c r="S15" s="35"/>
      <c r="T15" s="2"/>
    </row>
    <row r="16" spans="1:20" x14ac:dyDescent="0.25">
      <c r="A16" s="12"/>
      <c r="B16" s="12"/>
      <c r="C16" s="2"/>
      <c r="D16" s="2"/>
      <c r="E16" s="2"/>
      <c r="H16" s="12"/>
      <c r="I16" s="12"/>
      <c r="J16" s="2"/>
      <c r="K16" s="2"/>
      <c r="L16" s="2"/>
      <c r="O16" s="2"/>
      <c r="P16" s="2"/>
      <c r="Q16" s="2"/>
      <c r="R16" s="2"/>
      <c r="S16" s="2"/>
      <c r="T16" s="2"/>
    </row>
    <row r="17" spans="1:20" x14ac:dyDescent="0.25">
      <c r="A17" s="41" t="s">
        <v>19</v>
      </c>
      <c r="B17" s="42"/>
      <c r="C17" s="6">
        <v>1</v>
      </c>
      <c r="D17" s="21">
        <v>13</v>
      </c>
      <c r="E17" s="9">
        <f>(C17/D17)</f>
        <v>7.6923076923076927E-2</v>
      </c>
      <c r="H17" s="41" t="s">
        <v>19</v>
      </c>
      <c r="I17" s="42"/>
      <c r="J17" s="6">
        <v>1</v>
      </c>
      <c r="K17" s="21">
        <v>13</v>
      </c>
      <c r="L17" s="9">
        <f>(J17/K17)</f>
        <v>7.6923076923076927E-2</v>
      </c>
      <c r="O17" s="24" t="s">
        <v>18</v>
      </c>
      <c r="P17" s="24"/>
      <c r="Q17" s="43">
        <v>1</v>
      </c>
      <c r="R17" s="4">
        <v>13</v>
      </c>
      <c r="S17" s="9">
        <f>(Q17/R17)</f>
        <v>7.6923076923076927E-2</v>
      </c>
      <c r="T17" s="2"/>
    </row>
    <row r="18" spans="1:20" x14ac:dyDescent="0.25">
      <c r="A18" s="44" t="s">
        <v>17</v>
      </c>
      <c r="B18" s="28"/>
      <c r="C18" s="45">
        <v>8.0000000000000002E-3</v>
      </c>
      <c r="D18" s="4">
        <v>0.87</v>
      </c>
      <c r="E18" s="9">
        <f>(C18/D18)</f>
        <v>9.1954022988505746E-3</v>
      </c>
      <c r="H18" s="44" t="s">
        <v>17</v>
      </c>
      <c r="I18" s="28"/>
      <c r="J18" s="45">
        <v>8.0000000000000002E-3</v>
      </c>
      <c r="K18" s="4">
        <v>0.87</v>
      </c>
      <c r="L18" s="9">
        <f>(J18/K18)</f>
        <v>9.1954022988505746E-3</v>
      </c>
      <c r="O18" s="17" t="s">
        <v>16</v>
      </c>
      <c r="P18" s="16"/>
      <c r="Q18" s="25">
        <v>0.09</v>
      </c>
      <c r="R18" s="4">
        <v>1.28</v>
      </c>
      <c r="S18" s="9">
        <f>(Q18/R18)</f>
        <v>7.03125E-2</v>
      </c>
      <c r="T18" s="2"/>
    </row>
    <row r="19" spans="1:20" x14ac:dyDescent="0.25">
      <c r="A19" s="27" t="s">
        <v>15</v>
      </c>
      <c r="B19" s="19"/>
      <c r="C19" s="26">
        <v>0.16</v>
      </c>
      <c r="D19" s="4">
        <v>0.77</v>
      </c>
      <c r="E19" s="9">
        <f>(C19/D19)</f>
        <v>0.20779220779220778</v>
      </c>
      <c r="H19" s="27" t="s">
        <v>15</v>
      </c>
      <c r="I19" s="19"/>
      <c r="J19" s="26">
        <v>0.16</v>
      </c>
      <c r="K19" s="4">
        <v>0.77</v>
      </c>
      <c r="L19" s="9">
        <f>(J19/K19)</f>
        <v>0.20779220779220778</v>
      </c>
      <c r="O19" s="17"/>
      <c r="P19" s="16"/>
      <c r="Q19" s="25"/>
      <c r="R19" s="4">
        <v>0.12</v>
      </c>
      <c r="S19" s="9">
        <f>(Q19/R19)</f>
        <v>0</v>
      </c>
      <c r="T19" s="2"/>
    </row>
    <row r="20" spans="1:20" x14ac:dyDescent="0.25">
      <c r="A20" s="46" t="s">
        <v>14</v>
      </c>
      <c r="B20" s="23"/>
      <c r="C20" s="22">
        <v>6.0000000000000001E-3</v>
      </c>
      <c r="D20" s="4">
        <v>0.7</v>
      </c>
      <c r="E20" s="9">
        <f>(C20/D20)</f>
        <v>8.5714285714285719E-3</v>
      </c>
      <c r="H20" s="46" t="s">
        <v>14</v>
      </c>
      <c r="I20" s="23"/>
      <c r="J20" s="22">
        <v>6.0000000000000001E-3</v>
      </c>
      <c r="K20" s="4">
        <v>0.7</v>
      </c>
      <c r="L20" s="9">
        <f>(J20/K20)</f>
        <v>8.5714285714285719E-3</v>
      </c>
      <c r="O20" s="17" t="s">
        <v>13</v>
      </c>
      <c r="P20" s="21"/>
      <c r="Q20" s="20">
        <v>3.5000000000000003E-2</v>
      </c>
      <c r="R20" s="4">
        <v>0.17</v>
      </c>
      <c r="S20" s="9">
        <f>(Q20/R20)</f>
        <v>0.20588235294117649</v>
      </c>
      <c r="T20" s="2"/>
    </row>
    <row r="21" spans="1:20" x14ac:dyDescent="0.25">
      <c r="A21" s="41" t="s">
        <v>12</v>
      </c>
      <c r="B21" s="19"/>
      <c r="C21" s="6">
        <v>1</v>
      </c>
      <c r="D21" s="4">
        <v>8.1</v>
      </c>
      <c r="E21" s="9">
        <f>(C21/D21)</f>
        <v>0.1234567901234568</v>
      </c>
      <c r="H21" s="41" t="s">
        <v>12</v>
      </c>
      <c r="I21" s="19"/>
      <c r="J21" s="6">
        <v>1</v>
      </c>
      <c r="K21" s="4">
        <v>8.1</v>
      </c>
      <c r="L21" s="9">
        <f>(J21/K21)</f>
        <v>0.1234567901234568</v>
      </c>
      <c r="O21" s="18"/>
      <c r="P21" s="18"/>
      <c r="Q21" s="15"/>
      <c r="R21" s="4">
        <v>0.2</v>
      </c>
      <c r="S21" s="9">
        <f>(Q21/R21)</f>
        <v>0</v>
      </c>
      <c r="T21" s="2"/>
    </row>
    <row r="22" spans="1:20" x14ac:dyDescent="0.25">
      <c r="D22" s="47" t="s">
        <v>10</v>
      </c>
      <c r="E22" s="9">
        <f>(E21+E20+E19+E18+E17)</f>
        <v>0.42593890570902065</v>
      </c>
      <c r="F22" s="2" t="s">
        <v>9</v>
      </c>
      <c r="K22" s="47" t="s">
        <v>10</v>
      </c>
      <c r="L22" s="9">
        <f>(L21+L20+L19+L18+L17)</f>
        <v>0.42593890570902065</v>
      </c>
      <c r="M22" s="2" t="s">
        <v>9</v>
      </c>
      <c r="O22" s="17"/>
      <c r="P22" s="16"/>
      <c r="Q22" s="15"/>
      <c r="R22" s="7"/>
      <c r="S22" s="9"/>
      <c r="T22" s="2"/>
    </row>
    <row r="23" spans="1:20" x14ac:dyDescent="0.25">
      <c r="D23" s="48" t="s">
        <v>8</v>
      </c>
      <c r="E23" s="9">
        <f>(1/E22)</f>
        <v>2.3477545408428786</v>
      </c>
      <c r="F23" s="2" t="s">
        <v>7</v>
      </c>
      <c r="K23" s="48" t="s">
        <v>8</v>
      </c>
      <c r="L23" s="9">
        <f>(1/L22)</f>
        <v>2.3477545408428786</v>
      </c>
      <c r="M23" s="2" t="s">
        <v>7</v>
      </c>
      <c r="O23" s="14" t="s">
        <v>11</v>
      </c>
      <c r="P23" s="13"/>
      <c r="Q23" s="49">
        <v>1</v>
      </c>
      <c r="R23" s="4">
        <v>6.6</v>
      </c>
      <c r="S23" s="9">
        <f>(Q23/R23)</f>
        <v>0.15151515151515152</v>
      </c>
      <c r="T23" s="12"/>
    </row>
    <row r="24" spans="1:20" x14ac:dyDescent="0.25">
      <c r="R24" s="47" t="s">
        <v>10</v>
      </c>
      <c r="S24" s="9">
        <f>(S23+S20+S19+S18+S17+S22)</f>
        <v>0.50463308137940488</v>
      </c>
      <c r="T24" s="2" t="s">
        <v>9</v>
      </c>
    </row>
    <row r="25" spans="1:20" x14ac:dyDescent="0.25">
      <c r="R25" s="48" t="s">
        <v>8</v>
      </c>
      <c r="S25" s="9">
        <f>(1/S24)</f>
        <v>1.9816378214177301</v>
      </c>
      <c r="T25" s="2" t="s">
        <v>7</v>
      </c>
    </row>
    <row r="26" spans="1:20" x14ac:dyDescent="0.25">
      <c r="A26" t="s">
        <v>84</v>
      </c>
      <c r="E26" s="8">
        <f>(E8)</f>
        <v>10.56</v>
      </c>
      <c r="F26" s="1" t="s">
        <v>74</v>
      </c>
      <c r="H26" t="s">
        <v>84</v>
      </c>
      <c r="L26" s="8">
        <f>(E7)</f>
        <v>13.12</v>
      </c>
      <c r="M26" s="1" t="s">
        <v>74</v>
      </c>
      <c r="O26" t="s">
        <v>85</v>
      </c>
      <c r="S26" s="8">
        <f>(E9)</f>
        <v>13.529999999999998</v>
      </c>
      <c r="T26" s="1" t="s">
        <v>74</v>
      </c>
    </row>
    <row r="27" spans="1:20" x14ac:dyDescent="0.25">
      <c r="A27" t="s">
        <v>86</v>
      </c>
      <c r="E27" s="8">
        <f>(L5-L4)</f>
        <v>-3</v>
      </c>
      <c r="F27" s="1" t="s">
        <v>87</v>
      </c>
      <c r="H27" t="s">
        <v>86</v>
      </c>
      <c r="L27" s="8">
        <f>(L7-L4)</f>
        <v>5</v>
      </c>
      <c r="M27" s="1" t="s">
        <v>87</v>
      </c>
      <c r="O27" t="s">
        <v>86</v>
      </c>
      <c r="S27" s="8">
        <f>(L9-L4)</f>
        <v>12</v>
      </c>
      <c r="T27" s="1" t="s">
        <v>87</v>
      </c>
    </row>
    <row r="28" spans="1:20" x14ac:dyDescent="0.25">
      <c r="A28" t="s">
        <v>88</v>
      </c>
      <c r="B28" s="50"/>
      <c r="E28" s="8">
        <f>(E27*E26*E23)/1000</f>
        <v>-7.4376863853902395E-2</v>
      </c>
      <c r="F28" s="1" t="s">
        <v>112</v>
      </c>
      <c r="H28" t="s">
        <v>88</v>
      </c>
      <c r="I28" s="50"/>
      <c r="L28" s="8">
        <f>(L27*L26*L23)/1000</f>
        <v>0.15401269787929284</v>
      </c>
      <c r="M28" s="1" t="s">
        <v>112</v>
      </c>
      <c r="O28" t="s">
        <v>89</v>
      </c>
      <c r="S28" s="8">
        <f>(S25*S26*S27)/1000</f>
        <v>0.32173871668538262</v>
      </c>
      <c r="T28" s="1" t="s">
        <v>112</v>
      </c>
    </row>
    <row r="29" spans="1:20" x14ac:dyDescent="0.25">
      <c r="A29" t="s">
        <v>90</v>
      </c>
      <c r="E29" s="8">
        <f>(E28*24)</f>
        <v>-1.7850447324936574</v>
      </c>
      <c r="F29" s="1" t="s">
        <v>91</v>
      </c>
      <c r="H29" t="s">
        <v>90</v>
      </c>
      <c r="L29" s="8">
        <f>(L28*24)</f>
        <v>3.6963047491030281</v>
      </c>
      <c r="M29" s="1" t="s">
        <v>91</v>
      </c>
      <c r="O29" t="s">
        <v>90</v>
      </c>
      <c r="S29" s="8">
        <f>(S28*24)</f>
        <v>7.7217292004491824</v>
      </c>
      <c r="T29" s="1" t="s">
        <v>91</v>
      </c>
    </row>
    <row r="32" spans="1:20" x14ac:dyDescent="0.25">
      <c r="A32" s="38" t="s">
        <v>98</v>
      </c>
      <c r="B32" s="39"/>
      <c r="C32" s="40"/>
      <c r="H32" s="38" t="s">
        <v>99</v>
      </c>
      <c r="I32" s="39"/>
      <c r="J32" s="40"/>
    </row>
    <row r="34" spans="1:13" ht="24.75" x14ac:dyDescent="0.25">
      <c r="A34" s="2" t="s">
        <v>21</v>
      </c>
      <c r="B34" s="2"/>
      <c r="C34" s="2" t="s">
        <v>20</v>
      </c>
      <c r="D34" s="36" t="s">
        <v>82</v>
      </c>
      <c r="E34" s="35" t="s">
        <v>83</v>
      </c>
      <c r="H34" s="2" t="s">
        <v>21</v>
      </c>
      <c r="I34" s="2"/>
      <c r="J34" s="2" t="s">
        <v>20</v>
      </c>
      <c r="K34" s="36" t="s">
        <v>82</v>
      </c>
      <c r="L34" s="35" t="s">
        <v>83</v>
      </c>
    </row>
    <row r="35" spans="1:13" x14ac:dyDescent="0.25">
      <c r="A35" s="2"/>
      <c r="B35" s="2"/>
      <c r="C35" s="2"/>
      <c r="D35" s="2"/>
      <c r="E35" s="2"/>
      <c r="H35" s="2"/>
      <c r="I35" s="2"/>
      <c r="J35" s="2"/>
      <c r="K35" s="2"/>
      <c r="L35" s="2"/>
    </row>
    <row r="36" spans="1:13" x14ac:dyDescent="0.25">
      <c r="A36" s="12"/>
      <c r="B36" s="12"/>
      <c r="C36" s="2"/>
      <c r="D36" s="2"/>
      <c r="E36" s="2"/>
      <c r="H36" s="12"/>
      <c r="I36" s="12"/>
      <c r="J36" s="2"/>
      <c r="K36" s="2"/>
      <c r="L36" s="2"/>
    </row>
    <row r="37" spans="1:13" x14ac:dyDescent="0.25">
      <c r="A37" s="41" t="s">
        <v>19</v>
      </c>
      <c r="B37" s="42"/>
      <c r="C37" s="6">
        <v>1</v>
      </c>
      <c r="D37" s="21">
        <v>13</v>
      </c>
      <c r="E37" s="9">
        <f>(C37/D37)</f>
        <v>7.6923076923076927E-2</v>
      </c>
      <c r="H37" s="41" t="s">
        <v>19</v>
      </c>
      <c r="I37" s="42"/>
      <c r="J37" s="6">
        <v>1</v>
      </c>
      <c r="K37" s="21">
        <v>13</v>
      </c>
      <c r="L37" s="9">
        <f>(J37/K37)</f>
        <v>7.6923076923076927E-2</v>
      </c>
    </row>
    <row r="38" spans="1:13" x14ac:dyDescent="0.25">
      <c r="A38" s="44" t="s">
        <v>17</v>
      </c>
      <c r="B38" s="28"/>
      <c r="C38" s="45">
        <v>8.0000000000000002E-3</v>
      </c>
      <c r="D38" s="4">
        <v>0.87</v>
      </c>
      <c r="E38" s="9">
        <f>(C38/D38)</f>
        <v>9.1954022988505746E-3</v>
      </c>
      <c r="H38" s="44" t="s">
        <v>17</v>
      </c>
      <c r="I38" s="28"/>
      <c r="J38" s="45">
        <v>8.0000000000000002E-3</v>
      </c>
      <c r="K38" s="4">
        <v>0.87</v>
      </c>
      <c r="L38" s="9">
        <f>(J38/K38)</f>
        <v>9.1954022988505746E-3</v>
      </c>
    </row>
    <row r="39" spans="1:13" x14ac:dyDescent="0.25">
      <c r="A39" s="27" t="s">
        <v>15</v>
      </c>
      <c r="B39" s="19"/>
      <c r="C39" s="26">
        <v>0.16</v>
      </c>
      <c r="D39" s="4">
        <v>0.77</v>
      </c>
      <c r="E39" s="9">
        <f>(C39/D39)</f>
        <v>0.20779220779220778</v>
      </c>
      <c r="H39" s="27" t="s">
        <v>15</v>
      </c>
      <c r="I39" s="19"/>
      <c r="J39" s="26">
        <v>0.16</v>
      </c>
      <c r="K39" s="4">
        <v>0.77</v>
      </c>
      <c r="L39" s="9">
        <f>(J39/K39)</f>
        <v>0.20779220779220778</v>
      </c>
    </row>
    <row r="40" spans="1:13" x14ac:dyDescent="0.25">
      <c r="A40" s="46" t="s">
        <v>14</v>
      </c>
      <c r="B40" s="23"/>
      <c r="C40" s="22">
        <v>6.0000000000000001E-3</v>
      </c>
      <c r="D40" s="4">
        <v>0.7</v>
      </c>
      <c r="E40" s="9">
        <f>(C40/D40)</f>
        <v>8.5714285714285719E-3</v>
      </c>
      <c r="H40" s="46" t="s">
        <v>14</v>
      </c>
      <c r="I40" s="23"/>
      <c r="J40" s="22">
        <v>6.0000000000000001E-3</v>
      </c>
      <c r="K40" s="4">
        <v>0.7</v>
      </c>
      <c r="L40" s="9">
        <f>(J40/K40)</f>
        <v>8.5714285714285719E-3</v>
      </c>
    </row>
    <row r="41" spans="1:13" x14ac:dyDescent="0.25">
      <c r="A41" s="41" t="s">
        <v>12</v>
      </c>
      <c r="B41" s="19"/>
      <c r="C41" s="6">
        <v>1</v>
      </c>
      <c r="D41" s="4">
        <v>8.1</v>
      </c>
      <c r="E41" s="9">
        <f>(C41/D41)</f>
        <v>0.1234567901234568</v>
      </c>
      <c r="H41" s="41" t="s">
        <v>12</v>
      </c>
      <c r="I41" s="19"/>
      <c r="J41" s="6">
        <v>1</v>
      </c>
      <c r="K41" s="4">
        <v>8.1</v>
      </c>
      <c r="L41" s="9">
        <f>(J41/K41)</f>
        <v>0.1234567901234568</v>
      </c>
    </row>
    <row r="42" spans="1:13" x14ac:dyDescent="0.25">
      <c r="D42" s="47" t="s">
        <v>10</v>
      </c>
      <c r="E42" s="9">
        <f>(E41+E40+E39+E38+E37)</f>
        <v>0.42593890570902065</v>
      </c>
      <c r="F42" s="2" t="s">
        <v>9</v>
      </c>
      <c r="K42" s="47" t="s">
        <v>10</v>
      </c>
      <c r="L42" s="9">
        <f>(L41+L40+L39+L38+L37)</f>
        <v>0.42593890570902065</v>
      </c>
      <c r="M42" s="2" t="s">
        <v>9</v>
      </c>
    </row>
    <row r="43" spans="1:13" x14ac:dyDescent="0.25">
      <c r="D43" s="48" t="s">
        <v>8</v>
      </c>
      <c r="E43" s="9">
        <f>(1/E42)</f>
        <v>2.3477545408428786</v>
      </c>
      <c r="F43" s="2" t="s">
        <v>7</v>
      </c>
      <c r="K43" s="48" t="s">
        <v>8</v>
      </c>
      <c r="L43" s="9">
        <f>(1/L42)</f>
        <v>2.3477545408428786</v>
      </c>
      <c r="M43" s="2" t="s">
        <v>7</v>
      </c>
    </row>
    <row r="46" spans="1:13" x14ac:dyDescent="0.25">
      <c r="A46" t="s">
        <v>84</v>
      </c>
      <c r="E46" s="8">
        <f>(E7)</f>
        <v>13.12</v>
      </c>
      <c r="F46" s="1" t="s">
        <v>74</v>
      </c>
      <c r="H46" t="s">
        <v>84</v>
      </c>
      <c r="L46" s="8">
        <f>(E8)</f>
        <v>10.56</v>
      </c>
      <c r="M46" s="1" t="s">
        <v>74</v>
      </c>
    </row>
    <row r="47" spans="1:13" x14ac:dyDescent="0.25">
      <c r="A47" t="s">
        <v>86</v>
      </c>
      <c r="E47" s="8">
        <f>(L8-L4)</f>
        <v>-5</v>
      </c>
      <c r="F47" s="1" t="s">
        <v>87</v>
      </c>
      <c r="H47" t="s">
        <v>86</v>
      </c>
      <c r="L47" s="8">
        <f>(L6-L4)</f>
        <v>4</v>
      </c>
      <c r="M47" s="1" t="s">
        <v>87</v>
      </c>
    </row>
    <row r="48" spans="1:13" x14ac:dyDescent="0.25">
      <c r="A48" t="s">
        <v>88</v>
      </c>
      <c r="B48" s="50"/>
      <c r="E48" s="8">
        <f>(E47*E46*E43)/1000</f>
        <v>-0.15401269787929284</v>
      </c>
      <c r="F48" s="1" t="s">
        <v>112</v>
      </c>
      <c r="H48" t="s">
        <v>88</v>
      </c>
      <c r="I48" s="50"/>
      <c r="L48" s="8">
        <f>(L47*L46*L43)/1000</f>
        <v>9.9169151805203193E-2</v>
      </c>
      <c r="M48" s="1" t="s">
        <v>112</v>
      </c>
    </row>
    <row r="49" spans="1:13" x14ac:dyDescent="0.25">
      <c r="A49" t="s">
        <v>90</v>
      </c>
      <c r="E49" s="8">
        <f>(E48*24)</f>
        <v>-3.6963047491030281</v>
      </c>
      <c r="F49" s="1" t="s">
        <v>91</v>
      </c>
      <c r="H49" t="s">
        <v>90</v>
      </c>
      <c r="L49" s="8">
        <f>(L48*24)</f>
        <v>2.3800596433248766</v>
      </c>
      <c r="M49" s="1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zoomScale="75" zoomScaleNormal="75" workbookViewId="0">
      <selection activeCell="I25" sqref="I25"/>
    </sheetView>
  </sheetViews>
  <sheetFormatPr baseColWidth="10" defaultRowHeight="15" x14ac:dyDescent="0.25"/>
  <sheetData>
    <row r="3" spans="1:18" x14ac:dyDescent="0.25">
      <c r="A3" s="11" t="s">
        <v>135</v>
      </c>
      <c r="K3" s="11" t="s">
        <v>131</v>
      </c>
    </row>
    <row r="5" spans="1:18" ht="45" x14ac:dyDescent="0.25">
      <c r="B5" s="31" t="s">
        <v>1</v>
      </c>
      <c r="C5" s="31" t="s">
        <v>2</v>
      </c>
      <c r="D5" s="32" t="s">
        <v>54</v>
      </c>
      <c r="E5" s="32" t="s">
        <v>55</v>
      </c>
      <c r="F5" s="32" t="s">
        <v>73</v>
      </c>
      <c r="G5" s="32" t="s">
        <v>56</v>
      </c>
      <c r="H5" s="64"/>
      <c r="K5" s="62" t="s">
        <v>113</v>
      </c>
      <c r="L5" s="62" t="s">
        <v>118</v>
      </c>
      <c r="M5" s="62" t="s">
        <v>119</v>
      </c>
      <c r="N5" s="63" t="s">
        <v>121</v>
      </c>
      <c r="O5" s="63" t="s">
        <v>122</v>
      </c>
      <c r="P5" s="62" t="s">
        <v>125</v>
      </c>
      <c r="Q5" s="62" t="s">
        <v>120</v>
      </c>
      <c r="R5" s="62" t="s">
        <v>126</v>
      </c>
    </row>
    <row r="6" spans="1:18" x14ac:dyDescent="0.25">
      <c r="B6" s="8"/>
      <c r="C6" s="8"/>
      <c r="D6" s="8"/>
      <c r="E6" s="8"/>
      <c r="F6" s="8"/>
      <c r="G6" s="8"/>
      <c r="H6" s="3"/>
      <c r="K6" s="33"/>
      <c r="L6" s="8"/>
      <c r="M6" s="8"/>
      <c r="N6" s="8"/>
      <c r="O6" s="8"/>
      <c r="P6" s="8"/>
      <c r="Q6" s="8"/>
      <c r="R6" s="8"/>
    </row>
    <row r="7" spans="1:18" x14ac:dyDescent="0.25">
      <c r="B7" s="8" t="s">
        <v>3</v>
      </c>
      <c r="C7" s="8">
        <v>8</v>
      </c>
      <c r="D7" s="8">
        <v>56</v>
      </c>
      <c r="E7" s="8">
        <v>0.8</v>
      </c>
      <c r="F7" s="8">
        <v>15</v>
      </c>
      <c r="G7" s="8">
        <f>(D7*(1-E7))</f>
        <v>11.199999999999998</v>
      </c>
      <c r="H7" s="3"/>
      <c r="K7" s="33" t="s">
        <v>114</v>
      </c>
      <c r="L7" s="8">
        <v>85</v>
      </c>
      <c r="M7" s="8">
        <v>4.1840000000000002</v>
      </c>
      <c r="N7" s="8">
        <v>20</v>
      </c>
      <c r="O7" s="8">
        <v>7</v>
      </c>
      <c r="P7" s="8">
        <v>1800</v>
      </c>
      <c r="Q7" s="8">
        <f>(N7-O7)*M7*L7</f>
        <v>4623.3200000000006</v>
      </c>
      <c r="R7" s="8">
        <f>(Q7/P7)</f>
        <v>2.5685111111111114</v>
      </c>
    </row>
    <row r="8" spans="1:18" x14ac:dyDescent="0.25">
      <c r="B8" s="8" t="s">
        <v>4</v>
      </c>
      <c r="C8" s="8">
        <v>0</v>
      </c>
      <c r="D8" s="8">
        <v>0</v>
      </c>
      <c r="E8" s="8">
        <v>0.75</v>
      </c>
      <c r="F8" s="8">
        <v>4</v>
      </c>
      <c r="G8" s="8">
        <f t="shared" ref="G8:G10" si="0">(D8*(1-E8))</f>
        <v>0</v>
      </c>
      <c r="H8" s="3"/>
      <c r="K8" s="33" t="s">
        <v>116</v>
      </c>
      <c r="L8" s="8">
        <v>113</v>
      </c>
      <c r="M8" s="8">
        <v>4.1459999999999999</v>
      </c>
      <c r="N8" s="8">
        <v>15</v>
      </c>
      <c r="O8" s="8">
        <v>7</v>
      </c>
      <c r="P8" s="8">
        <v>1800</v>
      </c>
      <c r="Q8" s="8">
        <f>(N8-O8)*M8*L8</f>
        <v>3747.9839999999999</v>
      </c>
      <c r="R8" s="8">
        <f>(Q8/P8)</f>
        <v>2.0822133333333332</v>
      </c>
    </row>
    <row r="9" spans="1:18" x14ac:dyDescent="0.25">
      <c r="B9" s="8" t="s">
        <v>5</v>
      </c>
      <c r="C9" s="8">
        <v>0</v>
      </c>
      <c r="D9" s="8">
        <v>0</v>
      </c>
      <c r="E9" s="8">
        <v>0.69</v>
      </c>
      <c r="F9" s="8">
        <v>2.5</v>
      </c>
      <c r="G9" s="8">
        <f t="shared" si="0"/>
        <v>0</v>
      </c>
      <c r="H9" s="3"/>
      <c r="K9" s="33" t="s">
        <v>115</v>
      </c>
      <c r="L9" s="8">
        <v>92</v>
      </c>
      <c r="M9" s="8">
        <v>4.3319999999999999</v>
      </c>
      <c r="N9" s="8">
        <v>8.5</v>
      </c>
      <c r="O9" s="8">
        <v>7</v>
      </c>
      <c r="P9" s="8">
        <v>1800</v>
      </c>
      <c r="Q9" s="8">
        <f>(N9-O9)*M9*L9</f>
        <v>597.81599999999992</v>
      </c>
      <c r="R9" s="8">
        <f>(Q9/P9)</f>
        <v>0.33211999999999997</v>
      </c>
    </row>
    <row r="10" spans="1:18" x14ac:dyDescent="0.25">
      <c r="B10" s="8" t="s">
        <v>6</v>
      </c>
      <c r="C10" s="8">
        <v>0</v>
      </c>
      <c r="D10" s="8">
        <v>0</v>
      </c>
      <c r="E10" s="8">
        <v>0.55000000000000004</v>
      </c>
      <c r="F10" s="8">
        <v>2.5</v>
      </c>
      <c r="G10" s="8">
        <f t="shared" si="0"/>
        <v>0</v>
      </c>
      <c r="H10" s="3"/>
      <c r="K10" s="33" t="s">
        <v>79</v>
      </c>
      <c r="L10" s="8">
        <v>115</v>
      </c>
      <c r="M10" s="8">
        <v>2.5369999999999999</v>
      </c>
      <c r="N10" s="8">
        <v>13</v>
      </c>
      <c r="O10" s="8">
        <v>7</v>
      </c>
      <c r="P10" s="8">
        <v>1800</v>
      </c>
      <c r="Q10" s="8">
        <f>(N10-O10)*M10*L10</f>
        <v>1750.53</v>
      </c>
      <c r="R10" s="8">
        <f>(Q10/P10)</f>
        <v>0.9725166666666667</v>
      </c>
    </row>
    <row r="11" spans="1:18" x14ac:dyDescent="0.25">
      <c r="H11" s="3"/>
      <c r="K11" s="33" t="s">
        <v>117</v>
      </c>
      <c r="L11" s="8">
        <v>47</v>
      </c>
      <c r="M11" s="8">
        <v>2.3239999999999998</v>
      </c>
      <c r="N11" s="8">
        <v>18</v>
      </c>
      <c r="O11" s="8">
        <v>7</v>
      </c>
      <c r="P11" s="8">
        <v>1800</v>
      </c>
      <c r="Q11" s="8">
        <f>(N11-O11)*M11*L11</f>
        <v>1201.508</v>
      </c>
      <c r="R11" s="8">
        <f>(Q11/P11)</f>
        <v>0.66750444444444446</v>
      </c>
    </row>
    <row r="12" spans="1:18" x14ac:dyDescent="0.25">
      <c r="A12" s="11" t="s">
        <v>53</v>
      </c>
      <c r="B12" s="11"/>
      <c r="C12" s="11"/>
      <c r="D12" s="11"/>
      <c r="E12" s="11"/>
      <c r="F12" s="11"/>
      <c r="G12" s="33">
        <f>(SUM(G7:G10))/1000</f>
        <v>1.1199999999999998E-2</v>
      </c>
      <c r="H12" s="5"/>
      <c r="K12" s="52" t="s">
        <v>0</v>
      </c>
      <c r="L12" s="50"/>
      <c r="M12" s="50"/>
      <c r="N12" s="50"/>
      <c r="O12" s="50"/>
      <c r="P12" s="50"/>
      <c r="Q12" s="50"/>
      <c r="R12" s="51">
        <f>(SUM(R7:R11))</f>
        <v>6.6228655555555545</v>
      </c>
    </row>
    <row r="13" spans="1:18" x14ac:dyDescent="0.25">
      <c r="K13" s="50"/>
      <c r="L13" s="50"/>
      <c r="M13" s="50"/>
      <c r="N13" s="50"/>
      <c r="O13" s="50"/>
      <c r="P13" s="50"/>
      <c r="Q13" s="50"/>
    </row>
    <row r="14" spans="1:18" x14ac:dyDescent="0.25">
      <c r="K14" s="5" t="s">
        <v>123</v>
      </c>
      <c r="L14" s="50"/>
      <c r="M14" s="50"/>
      <c r="N14" s="50"/>
      <c r="O14" s="50"/>
      <c r="P14" s="50"/>
      <c r="Q14" s="8">
        <v>20</v>
      </c>
      <c r="R14" s="8" t="s">
        <v>127</v>
      </c>
    </row>
    <row r="15" spans="1:18" x14ac:dyDescent="0.25">
      <c r="A15" s="11" t="s">
        <v>139</v>
      </c>
      <c r="K15" s="5" t="s">
        <v>124</v>
      </c>
      <c r="Q15" s="8">
        <f>(((100+Q14)/100)*R12)/1000</f>
        <v>7.9474386666666657E-3</v>
      </c>
      <c r="R15" s="8" t="s">
        <v>112</v>
      </c>
    </row>
    <row r="17" spans="2:7" x14ac:dyDescent="0.25">
      <c r="B17" s="29" t="s">
        <v>69</v>
      </c>
      <c r="C17" s="34"/>
      <c r="D17" s="30"/>
      <c r="F17" s="33">
        <v>7</v>
      </c>
    </row>
    <row r="18" spans="2:7" ht="45" x14ac:dyDescent="0.25">
      <c r="B18" s="31" t="s">
        <v>24</v>
      </c>
      <c r="C18" s="31" t="s">
        <v>51</v>
      </c>
      <c r="D18" s="31" t="s">
        <v>25</v>
      </c>
      <c r="E18" s="32" t="s">
        <v>71</v>
      </c>
      <c r="F18" s="32" t="s">
        <v>68</v>
      </c>
      <c r="G18" s="32" t="s">
        <v>72</v>
      </c>
    </row>
    <row r="19" spans="2:7" x14ac:dyDescent="0.25">
      <c r="B19" s="8" t="s">
        <v>50</v>
      </c>
      <c r="C19" s="8" t="s">
        <v>57</v>
      </c>
      <c r="D19" s="8">
        <v>1</v>
      </c>
      <c r="E19" s="8">
        <v>2</v>
      </c>
      <c r="F19" s="8">
        <f>(272-(6*F17))*D19</f>
        <v>230</v>
      </c>
      <c r="G19" s="8">
        <f>(E19*F19)</f>
        <v>460</v>
      </c>
    </row>
    <row r="20" spans="2:7" x14ac:dyDescent="0.25">
      <c r="B20" s="8" t="s">
        <v>52</v>
      </c>
      <c r="C20" s="8" t="s">
        <v>58</v>
      </c>
      <c r="D20" s="8">
        <v>1</v>
      </c>
      <c r="E20" s="8">
        <v>1</v>
      </c>
      <c r="F20" s="8">
        <f>(272-(6*F17))*D20</f>
        <v>230</v>
      </c>
      <c r="G20" s="8">
        <f t="shared" ref="G20:G28" si="1">(E20*F20)</f>
        <v>230</v>
      </c>
    </row>
    <row r="21" spans="2:7" x14ac:dyDescent="0.25">
      <c r="B21" s="8" t="s">
        <v>65</v>
      </c>
      <c r="C21" s="8" t="s">
        <v>59</v>
      </c>
      <c r="D21" s="8">
        <v>2</v>
      </c>
      <c r="E21" s="8">
        <v>1.5</v>
      </c>
      <c r="F21" s="8">
        <f>(272-(6*F17))*D21</f>
        <v>460</v>
      </c>
      <c r="G21" s="8">
        <f t="shared" si="1"/>
        <v>690</v>
      </c>
    </row>
    <row r="22" spans="2:7" x14ac:dyDescent="0.25">
      <c r="B22" s="8" t="s">
        <v>65</v>
      </c>
      <c r="C22" s="8" t="s">
        <v>60</v>
      </c>
      <c r="D22" s="8">
        <v>2</v>
      </c>
      <c r="E22" s="8">
        <v>1.5</v>
      </c>
      <c r="F22" s="8">
        <f>(272-(6*F17))*D22</f>
        <v>460</v>
      </c>
      <c r="G22" s="8">
        <f t="shared" si="1"/>
        <v>690</v>
      </c>
    </row>
    <row r="23" spans="2:7" x14ac:dyDescent="0.25">
      <c r="B23" s="8" t="s">
        <v>65</v>
      </c>
      <c r="C23" s="8" t="s">
        <v>61</v>
      </c>
      <c r="D23" s="8">
        <v>1</v>
      </c>
      <c r="E23" s="8">
        <v>0.5</v>
      </c>
      <c r="F23" s="8">
        <f>(272-(6*F17))*D23</f>
        <v>230</v>
      </c>
      <c r="G23" s="8">
        <f t="shared" si="1"/>
        <v>115</v>
      </c>
    </row>
    <row r="24" spans="2:7" x14ac:dyDescent="0.25">
      <c r="B24" s="8" t="s">
        <v>65</v>
      </c>
      <c r="C24" s="8" t="s">
        <v>62</v>
      </c>
      <c r="D24" s="8">
        <v>1</v>
      </c>
      <c r="E24" s="8">
        <v>1</v>
      </c>
      <c r="F24" s="8">
        <f>(272-(6*F17))*D24</f>
        <v>230</v>
      </c>
      <c r="G24" s="8">
        <f t="shared" si="1"/>
        <v>230</v>
      </c>
    </row>
    <row r="25" spans="2:7" x14ac:dyDescent="0.25">
      <c r="B25" s="8" t="s">
        <v>65</v>
      </c>
      <c r="C25" s="8" t="s">
        <v>66</v>
      </c>
      <c r="D25" s="8">
        <v>1</v>
      </c>
      <c r="E25" s="8">
        <v>1</v>
      </c>
      <c r="F25" s="8">
        <f>(272-(6*F17))*D25</f>
        <v>230</v>
      </c>
      <c r="G25" s="8">
        <f t="shared" si="1"/>
        <v>230</v>
      </c>
    </row>
    <row r="26" spans="2:7" x14ac:dyDescent="0.25">
      <c r="B26" s="8" t="s">
        <v>65</v>
      </c>
      <c r="C26" s="8" t="s">
        <v>67</v>
      </c>
      <c r="D26" s="8">
        <v>1</v>
      </c>
      <c r="E26" s="8">
        <v>0.5</v>
      </c>
      <c r="F26" s="8">
        <f>(272-(6*F17))*D26</f>
        <v>230</v>
      </c>
      <c r="G26" s="8">
        <f t="shared" si="1"/>
        <v>115</v>
      </c>
    </row>
    <row r="27" spans="2:7" x14ac:dyDescent="0.25">
      <c r="B27" s="8" t="s">
        <v>64</v>
      </c>
      <c r="C27" s="8" t="s">
        <v>63</v>
      </c>
      <c r="D27" s="8">
        <v>1</v>
      </c>
      <c r="E27" s="8">
        <v>2</v>
      </c>
      <c r="F27" s="8">
        <f>(272-(6*F17))*D27</f>
        <v>230</v>
      </c>
      <c r="G27" s="8">
        <f t="shared" si="1"/>
        <v>460</v>
      </c>
    </row>
    <row r="28" spans="2:7" x14ac:dyDescent="0.25">
      <c r="B28" s="8" t="s">
        <v>64</v>
      </c>
      <c r="C28" s="8" t="s">
        <v>57</v>
      </c>
      <c r="D28" s="8">
        <v>1</v>
      </c>
      <c r="E28" s="8">
        <v>2</v>
      </c>
      <c r="F28" s="8">
        <f>(272-(6*F17))*D28</f>
        <v>230</v>
      </c>
      <c r="G28" s="8">
        <f t="shared" si="1"/>
        <v>460</v>
      </c>
    </row>
    <row r="30" spans="2:7" x14ac:dyDescent="0.25">
      <c r="B30" s="11" t="s">
        <v>70</v>
      </c>
      <c r="C30" s="11"/>
      <c r="D30" s="11"/>
      <c r="E30" s="11"/>
      <c r="F30" s="33">
        <f>(SUM(F19:F28))</f>
        <v>2760</v>
      </c>
      <c r="G30" s="33">
        <f>(SUM(G19:G28))</f>
        <v>3680</v>
      </c>
    </row>
    <row r="31" spans="2:7" x14ac:dyDescent="0.25">
      <c r="B31" t="s">
        <v>76</v>
      </c>
      <c r="F31" s="33">
        <v>0.1</v>
      </c>
      <c r="G31" s="33">
        <f>(F31)</f>
        <v>0.1</v>
      </c>
    </row>
    <row r="32" spans="2:7" x14ac:dyDescent="0.25">
      <c r="B32" t="s">
        <v>77</v>
      </c>
      <c r="F32" s="33">
        <f>(F30*F31)</f>
        <v>276</v>
      </c>
      <c r="G32" s="33">
        <f>(G30*G31)</f>
        <v>368</v>
      </c>
    </row>
    <row r="35" spans="2:9" x14ac:dyDescent="0.25">
      <c r="B35" s="58"/>
      <c r="C35" s="58"/>
      <c r="D35" s="58"/>
      <c r="E35" s="59"/>
      <c r="F35" s="59"/>
      <c r="G35" s="60"/>
      <c r="H35" s="58"/>
      <c r="I35" s="58"/>
    </row>
    <row r="36" spans="2:9" x14ac:dyDescent="0.25">
      <c r="B36" s="61"/>
      <c r="C36" s="50"/>
      <c r="D36" s="50"/>
      <c r="E36" s="50"/>
      <c r="F36" s="50"/>
      <c r="G36" s="50"/>
      <c r="H36" s="50"/>
      <c r="I36" s="50"/>
    </row>
    <row r="37" spans="2:9" x14ac:dyDescent="0.25">
      <c r="B37" s="61"/>
      <c r="C37" s="50"/>
      <c r="D37" s="50"/>
      <c r="E37" s="50"/>
      <c r="F37" s="50"/>
      <c r="G37" s="50"/>
      <c r="H37" s="50"/>
      <c r="I37" s="50"/>
    </row>
    <row r="38" spans="2:9" x14ac:dyDescent="0.25">
      <c r="B38" s="61"/>
      <c r="C38" s="50"/>
      <c r="D38" s="50"/>
      <c r="E38" s="50"/>
      <c r="F38" s="50"/>
      <c r="G38" s="50"/>
      <c r="H38" s="50"/>
      <c r="I38" s="50"/>
    </row>
    <row r="39" spans="2:9" x14ac:dyDescent="0.25">
      <c r="B39" s="61"/>
      <c r="C39" s="50"/>
      <c r="D39" s="50"/>
      <c r="E39" s="50"/>
      <c r="F39" s="50"/>
      <c r="G39" s="50"/>
      <c r="H39" s="50"/>
      <c r="I39" s="50"/>
    </row>
    <row r="40" spans="2:9" x14ac:dyDescent="0.25">
      <c r="B40" s="61"/>
      <c r="C40" s="50"/>
      <c r="D40" s="50"/>
      <c r="E40" s="50"/>
      <c r="F40" s="50"/>
      <c r="G40" s="50"/>
      <c r="H40" s="50"/>
      <c r="I40" s="50"/>
    </row>
    <row r="41" spans="2:9" x14ac:dyDescent="0.25">
      <c r="B41" s="61"/>
      <c r="C41" s="50"/>
      <c r="D41" s="50"/>
      <c r="E41" s="50"/>
      <c r="F41" s="50"/>
      <c r="G41" s="50"/>
      <c r="H41" s="50"/>
      <c r="I41" s="50"/>
    </row>
    <row r="42" spans="2:9" x14ac:dyDescent="0.25">
      <c r="B42" s="5"/>
      <c r="C42" s="50"/>
      <c r="D42" s="50"/>
      <c r="E42" s="50"/>
      <c r="F42" s="50"/>
      <c r="G42" s="50"/>
      <c r="H42" s="50"/>
      <c r="I42" s="3"/>
    </row>
    <row r="43" spans="2:9" x14ac:dyDescent="0.25">
      <c r="B43" s="50"/>
      <c r="C43" s="50"/>
      <c r="D43" s="50"/>
      <c r="E43" s="50"/>
      <c r="F43" s="50"/>
      <c r="G43" s="50"/>
      <c r="H43" s="50"/>
      <c r="I43" s="50"/>
    </row>
    <row r="44" spans="2:9" x14ac:dyDescent="0.25">
      <c r="B44" s="5"/>
      <c r="C44" s="50"/>
      <c r="D44" s="50"/>
      <c r="E44" s="50"/>
      <c r="F44" s="50"/>
      <c r="G44" s="50"/>
      <c r="H44" s="50"/>
      <c r="I44" s="50"/>
    </row>
    <row r="45" spans="2:9" x14ac:dyDescent="0.25">
      <c r="B45" s="5"/>
      <c r="C45" s="50"/>
      <c r="D45" s="50"/>
      <c r="E45" s="50"/>
      <c r="F45" s="50"/>
      <c r="G45" s="50"/>
      <c r="H45" s="50"/>
      <c r="I45" s="5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4"/>
  <sheetViews>
    <sheetView zoomScale="75" zoomScaleNormal="75" workbookViewId="0">
      <selection activeCell="K30" sqref="K30"/>
    </sheetView>
  </sheetViews>
  <sheetFormatPr baseColWidth="10" defaultRowHeight="15" x14ac:dyDescent="0.25"/>
  <sheetData>
    <row r="4" spans="1:8" x14ac:dyDescent="0.25">
      <c r="A4" s="29" t="s">
        <v>26</v>
      </c>
      <c r="B4" s="30"/>
      <c r="E4" s="29" t="s">
        <v>32</v>
      </c>
      <c r="F4" s="30"/>
    </row>
    <row r="6" spans="1:8" x14ac:dyDescent="0.25">
      <c r="A6" t="s">
        <v>27</v>
      </c>
      <c r="C6" s="7" t="s">
        <v>49</v>
      </c>
      <c r="D6" s="7"/>
      <c r="E6" t="s">
        <v>27</v>
      </c>
      <c r="G6" s="7" t="s">
        <v>49</v>
      </c>
      <c r="H6" s="7"/>
    </row>
    <row r="7" spans="1:8" x14ac:dyDescent="0.25">
      <c r="A7" t="s">
        <v>29</v>
      </c>
      <c r="C7" s="7">
        <v>7</v>
      </c>
      <c r="D7" s="7" t="s">
        <v>36</v>
      </c>
      <c r="E7" t="s">
        <v>29</v>
      </c>
      <c r="G7" s="7">
        <v>19</v>
      </c>
      <c r="H7" s="7" t="s">
        <v>36</v>
      </c>
    </row>
    <row r="8" spans="1:8" x14ac:dyDescent="0.25">
      <c r="A8" t="s">
        <v>28</v>
      </c>
      <c r="C8" s="7">
        <v>92000</v>
      </c>
      <c r="D8" s="7" t="s">
        <v>37</v>
      </c>
      <c r="E8" t="s">
        <v>28</v>
      </c>
      <c r="G8" s="7">
        <v>92000</v>
      </c>
      <c r="H8" s="7" t="s">
        <v>37</v>
      </c>
    </row>
    <row r="9" spans="1:8" x14ac:dyDescent="0.25">
      <c r="A9" t="s">
        <v>30</v>
      </c>
      <c r="C9" s="7">
        <v>223</v>
      </c>
      <c r="D9" s="7" t="s">
        <v>38</v>
      </c>
      <c r="E9" t="s">
        <v>30</v>
      </c>
      <c r="G9" s="7">
        <v>245</v>
      </c>
      <c r="H9" s="7" t="s">
        <v>38</v>
      </c>
    </row>
    <row r="10" spans="1:8" x14ac:dyDescent="0.25">
      <c r="A10" t="s">
        <v>31</v>
      </c>
      <c r="C10" s="7">
        <v>6.8</v>
      </c>
      <c r="D10" s="7" t="s">
        <v>38</v>
      </c>
      <c r="E10" t="s">
        <v>31</v>
      </c>
      <c r="G10" s="7">
        <v>6.84</v>
      </c>
      <c r="H10" s="7" t="s">
        <v>38</v>
      </c>
    </row>
    <row r="11" spans="1:8" x14ac:dyDescent="0.25">
      <c r="A11" t="s">
        <v>42</v>
      </c>
      <c r="C11" s="7">
        <v>1.24</v>
      </c>
      <c r="D11" s="7" t="s">
        <v>43</v>
      </c>
      <c r="E11" t="s">
        <v>42</v>
      </c>
      <c r="G11" s="7">
        <v>1.17</v>
      </c>
      <c r="H11" s="7" t="s">
        <v>43</v>
      </c>
    </row>
    <row r="12" spans="1:8" x14ac:dyDescent="0.25">
      <c r="A12" s="29" t="s">
        <v>39</v>
      </c>
      <c r="B12" s="30"/>
      <c r="E12" s="29" t="s">
        <v>48</v>
      </c>
      <c r="F12" s="30"/>
    </row>
    <row r="14" spans="1:8" x14ac:dyDescent="0.25">
      <c r="A14" s="57"/>
      <c r="B14" s="7"/>
      <c r="C14" s="7"/>
      <c r="E14" t="s">
        <v>138</v>
      </c>
      <c r="G14" s="7">
        <v>0.45</v>
      </c>
      <c r="H14" s="8"/>
    </row>
    <row r="15" spans="1:8" x14ac:dyDescent="0.25">
      <c r="A15" s="57" t="s">
        <v>33</v>
      </c>
      <c r="B15" s="7">
        <v>0.75</v>
      </c>
      <c r="C15" s="7" t="s">
        <v>44</v>
      </c>
      <c r="E15" t="s">
        <v>75</v>
      </c>
      <c r="G15" s="7">
        <f>(G9-C9)</f>
        <v>22</v>
      </c>
      <c r="H15" s="7" t="s">
        <v>38</v>
      </c>
    </row>
    <row r="16" spans="1:8" x14ac:dyDescent="0.25">
      <c r="A16" s="57" t="s">
        <v>34</v>
      </c>
      <c r="B16" s="7">
        <v>1.95</v>
      </c>
      <c r="C16" s="7" t="s">
        <v>44</v>
      </c>
      <c r="E16" t="s">
        <v>40</v>
      </c>
      <c r="G16" s="7">
        <f>(B19)</f>
        <v>0.17111249999999997</v>
      </c>
      <c r="H16" s="7" t="s">
        <v>47</v>
      </c>
    </row>
    <row r="17" spans="1:8" x14ac:dyDescent="0.25">
      <c r="A17" s="57" t="s">
        <v>35</v>
      </c>
      <c r="B17" s="7">
        <f>(B15*B16)</f>
        <v>1.4624999999999999</v>
      </c>
      <c r="C17" s="7" t="s">
        <v>74</v>
      </c>
      <c r="E17" t="s">
        <v>41</v>
      </c>
      <c r="G17" s="7">
        <f>(G15*G16)</f>
        <v>3.7644749999999996</v>
      </c>
      <c r="H17" s="7" t="s">
        <v>80</v>
      </c>
    </row>
    <row r="18" spans="1:8" x14ac:dyDescent="0.25">
      <c r="A18" s="57" t="s">
        <v>46</v>
      </c>
      <c r="B18" s="7">
        <v>0.1</v>
      </c>
      <c r="C18" s="7" t="s">
        <v>45</v>
      </c>
      <c r="E18" t="s">
        <v>41</v>
      </c>
      <c r="G18" s="7">
        <f>(G14*G17)</f>
        <v>1.6940137499999999</v>
      </c>
      <c r="H18" s="7" t="s">
        <v>112</v>
      </c>
    </row>
    <row r="19" spans="1:8" x14ac:dyDescent="0.25">
      <c r="A19" s="57" t="s">
        <v>40</v>
      </c>
      <c r="B19" s="7">
        <f>(B18*B17*G11)</f>
        <v>0.17111249999999997</v>
      </c>
      <c r="C19" s="7" t="s">
        <v>47</v>
      </c>
      <c r="G19" s="8"/>
      <c r="H19" s="8"/>
    </row>
    <row r="21" spans="1:8" x14ac:dyDescent="0.25">
      <c r="C21" s="57"/>
      <c r="D21" s="57"/>
    </row>
    <row r="24" spans="1:8" x14ac:dyDescent="0.25">
      <c r="A24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abSelected="1" zoomScale="75" zoomScaleNormal="75" workbookViewId="0">
      <selection activeCell="M20" sqref="M20"/>
    </sheetView>
  </sheetViews>
  <sheetFormatPr baseColWidth="10" defaultRowHeight="15" x14ac:dyDescent="0.25"/>
  <sheetData>
    <row r="2" spans="1:9" x14ac:dyDescent="0.25">
      <c r="A2" s="107" t="s">
        <v>78</v>
      </c>
      <c r="B2" s="34"/>
      <c r="C2" s="34"/>
      <c r="D2" s="34"/>
      <c r="E2" s="30"/>
    </row>
    <row r="3" spans="1:9" x14ac:dyDescent="0.25">
      <c r="A3" s="11"/>
    </row>
    <row r="4" spans="1:9" x14ac:dyDescent="0.25">
      <c r="A4" t="s">
        <v>132</v>
      </c>
      <c r="E4" s="8">
        <f>('Carga por conduccion'!R9)</f>
        <v>0.3465310046366834</v>
      </c>
      <c r="F4" s="11" t="s">
        <v>112</v>
      </c>
    </row>
    <row r="5" spans="1:9" x14ac:dyDescent="0.25">
      <c r="A5" t="s">
        <v>133</v>
      </c>
      <c r="E5" s="8">
        <f>('Carga  por filtracion'!G18)</f>
        <v>1.6940137499999999</v>
      </c>
      <c r="F5" s="11" t="s">
        <v>112</v>
      </c>
    </row>
    <row r="6" spans="1:9" x14ac:dyDescent="0.25">
      <c r="A6" t="s">
        <v>131</v>
      </c>
      <c r="E6" s="8">
        <f>('Carga ineterna y de producto'!Q15)</f>
        <v>7.9474386666666657E-3</v>
      </c>
      <c r="F6" s="11" t="s">
        <v>112</v>
      </c>
    </row>
    <row r="7" spans="1:9" x14ac:dyDescent="0.25">
      <c r="A7" t="s">
        <v>134</v>
      </c>
      <c r="E7" s="8">
        <f>('Carga ineterna y de producto'!F32)/1000</f>
        <v>0.27600000000000002</v>
      </c>
      <c r="F7" s="11" t="s">
        <v>112</v>
      </c>
    </row>
    <row r="8" spans="1:9" x14ac:dyDescent="0.25">
      <c r="A8" t="s">
        <v>135</v>
      </c>
      <c r="E8" s="8">
        <f>('Carga ineterna y de producto'!G12)</f>
        <v>1.1199999999999998E-2</v>
      </c>
      <c r="F8" s="11" t="s">
        <v>112</v>
      </c>
    </row>
    <row r="9" spans="1:9" x14ac:dyDescent="0.25">
      <c r="A9" t="s">
        <v>136</v>
      </c>
      <c r="E9" s="8">
        <f>(E4+E5+E6+E7+E8)</f>
        <v>2.3356921933033505</v>
      </c>
      <c r="F9" s="11" t="s">
        <v>112</v>
      </c>
    </row>
    <row r="10" spans="1:9" x14ac:dyDescent="0.25">
      <c r="E10" s="108">
        <f>(E9/3.5)</f>
        <v>0.66734062665810012</v>
      </c>
      <c r="F10" s="11" t="s">
        <v>137</v>
      </c>
    </row>
    <row r="11" spans="1:9" x14ac:dyDescent="0.25">
      <c r="A11" s="107" t="s">
        <v>178</v>
      </c>
      <c r="B11" s="34"/>
      <c r="C11" s="34"/>
      <c r="D11" s="34"/>
      <c r="E11" s="30"/>
    </row>
    <row r="12" spans="1:9" x14ac:dyDescent="0.25">
      <c r="A12" t="s">
        <v>172</v>
      </c>
      <c r="E12" s="109">
        <v>2.33</v>
      </c>
      <c r="F12" s="100" t="s">
        <v>112</v>
      </c>
    </row>
    <row r="13" spans="1:9" x14ac:dyDescent="0.25">
      <c r="A13" t="s">
        <v>173</v>
      </c>
      <c r="E13" s="7">
        <v>2.88</v>
      </c>
      <c r="F13" s="100"/>
      <c r="G13" s="50"/>
      <c r="H13" s="50"/>
      <c r="I13" s="50"/>
    </row>
    <row r="14" spans="1:9" x14ac:dyDescent="0.25">
      <c r="A14" t="s">
        <v>174</v>
      </c>
      <c r="E14" s="7">
        <f>(E12/E13)</f>
        <v>0.80902777777777779</v>
      </c>
      <c r="F14" s="100" t="s">
        <v>112</v>
      </c>
      <c r="G14" s="3"/>
      <c r="H14" s="3"/>
      <c r="I14" s="3"/>
    </row>
    <row r="15" spans="1:9" x14ac:dyDescent="0.25">
      <c r="A15" s="98" t="s">
        <v>175</v>
      </c>
      <c r="B15" s="93"/>
      <c r="C15" s="93"/>
      <c r="D15" s="93"/>
      <c r="E15" s="97">
        <v>1.77</v>
      </c>
      <c r="F15" s="100" t="s">
        <v>112</v>
      </c>
    </row>
    <row r="16" spans="1:9" x14ac:dyDescent="0.25">
      <c r="A16" s="98" t="s">
        <v>176</v>
      </c>
      <c r="E16" s="99">
        <v>29.6</v>
      </c>
      <c r="F16" s="101" t="s">
        <v>177</v>
      </c>
    </row>
    <row r="17" spans="1:9" x14ac:dyDescent="0.25">
      <c r="A17" s="94" t="s">
        <v>170</v>
      </c>
      <c r="B17" s="2"/>
      <c r="E17" s="85">
        <f>(E15-E14)*E16</f>
        <v>28.44477777777778</v>
      </c>
      <c r="F17" s="102" t="s">
        <v>167</v>
      </c>
    </row>
    <row r="18" spans="1:9" x14ac:dyDescent="0.25">
      <c r="A18" s="95" t="s">
        <v>168</v>
      </c>
      <c r="E18" s="96">
        <v>1.1000000000000001</v>
      </c>
      <c r="F18" s="103" t="s">
        <v>169</v>
      </c>
      <c r="G18" s="2"/>
      <c r="I18" s="94"/>
    </row>
    <row r="19" spans="1:9" x14ac:dyDescent="0.25">
      <c r="A19" s="95" t="s">
        <v>170</v>
      </c>
      <c r="E19" s="85">
        <f>E17*E18</f>
        <v>31.28925555555556</v>
      </c>
      <c r="F19" s="103" t="s">
        <v>143</v>
      </c>
      <c r="G19" s="2"/>
      <c r="I19" s="94"/>
    </row>
    <row r="20" spans="1:9" x14ac:dyDescent="0.25">
      <c r="A20" s="95" t="s">
        <v>171</v>
      </c>
      <c r="E20" s="85">
        <f>E19*12</f>
        <v>375.47106666666673</v>
      </c>
      <c r="F20" s="103" t="s">
        <v>143</v>
      </c>
      <c r="G20" s="2"/>
      <c r="I20" s="94"/>
    </row>
    <row r="21" spans="1:9" x14ac:dyDescent="0.25">
      <c r="A21" s="94"/>
      <c r="B21" s="94"/>
      <c r="C21" s="94"/>
      <c r="E21" s="4"/>
      <c r="F21" s="102"/>
      <c r="G21" s="1"/>
      <c r="I21" s="94"/>
    </row>
    <row r="22" spans="1:9" x14ac:dyDescent="0.25">
      <c r="A22" s="65" t="s">
        <v>140</v>
      </c>
      <c r="B22" s="66"/>
      <c r="C22" s="66"/>
      <c r="E22" s="105">
        <f>E20</f>
        <v>375.47106666666673</v>
      </c>
      <c r="F22" s="104" t="s">
        <v>141</v>
      </c>
      <c r="G22" s="1"/>
      <c r="I22" s="94"/>
    </row>
    <row r="23" spans="1:9" x14ac:dyDescent="0.25">
      <c r="A23" s="65" t="s">
        <v>142</v>
      </c>
      <c r="B23" s="66"/>
      <c r="C23" s="66"/>
      <c r="E23" s="106">
        <v>7742</v>
      </c>
      <c r="F23" s="104" t="s">
        <v>143</v>
      </c>
      <c r="G23" s="94"/>
      <c r="H23" s="94"/>
      <c r="I23" s="94"/>
    </row>
    <row r="24" spans="1:9" ht="15.75" thickBot="1" x14ac:dyDescent="0.3"/>
    <row r="25" spans="1:9" ht="15.75" thickBot="1" x14ac:dyDescent="0.3">
      <c r="A25" s="67" t="s">
        <v>144</v>
      </c>
      <c r="B25" s="68"/>
      <c r="C25" s="68"/>
      <c r="D25" s="68"/>
      <c r="E25" s="68"/>
      <c r="F25" s="68"/>
      <c r="G25" s="68"/>
      <c r="H25" s="68"/>
      <c r="I25" s="69"/>
    </row>
    <row r="26" spans="1:9" x14ac:dyDescent="0.25">
      <c r="A26" s="70" t="s">
        <v>145</v>
      </c>
      <c r="B26" s="71"/>
      <c r="C26" s="71"/>
      <c r="D26" s="72"/>
      <c r="E26" s="73"/>
      <c r="F26" s="73"/>
      <c r="G26" s="74" t="s">
        <v>146</v>
      </c>
      <c r="H26" s="75">
        <v>10</v>
      </c>
      <c r="I26" s="76" t="s">
        <v>147</v>
      </c>
    </row>
    <row r="27" spans="1:9" x14ac:dyDescent="0.25">
      <c r="A27" s="70" t="s">
        <v>148</v>
      </c>
      <c r="B27" s="71"/>
      <c r="C27" s="71"/>
      <c r="D27" s="71"/>
      <c r="E27" s="71"/>
      <c r="F27" s="71"/>
      <c r="G27" s="74" t="s">
        <v>149</v>
      </c>
      <c r="H27" s="77">
        <v>0.1</v>
      </c>
      <c r="I27" s="76"/>
    </row>
    <row r="28" spans="1:9" x14ac:dyDescent="0.25">
      <c r="A28" s="78" t="s">
        <v>150</v>
      </c>
      <c r="B28" s="79"/>
      <c r="C28" s="79"/>
      <c r="D28" s="79"/>
      <c r="E28" s="80" t="s">
        <v>151</v>
      </c>
      <c r="F28" s="80"/>
      <c r="G28" s="81"/>
      <c r="H28" s="82">
        <f>((1+H27)^H26-1)/(H27*(1+H27)^H26)</f>
        <v>6.1445671057046853</v>
      </c>
      <c r="I28" s="76"/>
    </row>
    <row r="29" spans="1:9" x14ac:dyDescent="0.25">
      <c r="A29" s="83" t="s">
        <v>152</v>
      </c>
      <c r="B29" s="71"/>
      <c r="C29" s="71"/>
      <c r="D29" s="71"/>
      <c r="E29" s="71"/>
      <c r="F29" s="71"/>
      <c r="G29" s="74" t="s">
        <v>153</v>
      </c>
      <c r="H29" s="84">
        <f>E23</f>
        <v>7742</v>
      </c>
      <c r="I29" s="76" t="s">
        <v>143</v>
      </c>
    </row>
    <row r="30" spans="1:9" x14ac:dyDescent="0.25">
      <c r="A30" s="70" t="s">
        <v>140</v>
      </c>
      <c r="B30" s="71"/>
      <c r="C30" s="71"/>
      <c r="D30" s="71"/>
      <c r="E30" s="71"/>
      <c r="F30" s="71"/>
      <c r="G30" s="74" t="s">
        <v>154</v>
      </c>
      <c r="H30" s="85">
        <f>E22</f>
        <v>375.47106666666673</v>
      </c>
      <c r="I30" s="76" t="s">
        <v>143</v>
      </c>
    </row>
    <row r="31" spans="1:9" x14ac:dyDescent="0.25">
      <c r="A31" s="83" t="s">
        <v>155</v>
      </c>
      <c r="B31" s="71"/>
      <c r="C31" s="71"/>
      <c r="D31" s="71"/>
      <c r="E31" s="71"/>
      <c r="F31" s="71"/>
      <c r="G31" s="74" t="s">
        <v>156</v>
      </c>
      <c r="H31" s="9">
        <f>(H29/H30)*12</f>
        <v>247.43317993787713</v>
      </c>
      <c r="I31" s="76" t="s">
        <v>157</v>
      </c>
    </row>
    <row r="32" spans="1:9" x14ac:dyDescent="0.25">
      <c r="A32" s="86" t="s">
        <v>158</v>
      </c>
      <c r="B32" s="79"/>
      <c r="C32" s="79"/>
      <c r="D32" s="79"/>
      <c r="E32" s="79"/>
      <c r="F32" s="79"/>
      <c r="G32" s="87" t="s">
        <v>159</v>
      </c>
      <c r="H32" s="77">
        <f>(H30)/H29</f>
        <v>4.8497941961594772E-2</v>
      </c>
      <c r="I32" s="76"/>
    </row>
    <row r="33" spans="1:9" x14ac:dyDescent="0.25">
      <c r="A33" s="83" t="s">
        <v>160</v>
      </c>
      <c r="B33" s="71"/>
      <c r="C33" s="71"/>
      <c r="D33" s="71"/>
      <c r="E33" s="71"/>
      <c r="F33" s="71"/>
      <c r="G33" s="74" t="s">
        <v>161</v>
      </c>
      <c r="H33" s="85">
        <f>H28*H30</f>
        <v>2307.1071653838512</v>
      </c>
      <c r="I33" s="76" t="s">
        <v>143</v>
      </c>
    </row>
    <row r="34" spans="1:9" x14ac:dyDescent="0.25">
      <c r="A34" s="83" t="s">
        <v>162</v>
      </c>
      <c r="B34" s="71"/>
      <c r="C34" s="71"/>
      <c r="D34" s="71"/>
      <c r="E34" s="71"/>
      <c r="F34" s="71"/>
      <c r="G34" s="74" t="s">
        <v>163</v>
      </c>
      <c r="H34" s="85">
        <f>H33-H29</f>
        <v>-5434.8928346161483</v>
      </c>
      <c r="I34" s="76" t="s">
        <v>143</v>
      </c>
    </row>
    <row r="35" spans="1:9" ht="15.75" thickBot="1" x14ac:dyDescent="0.3">
      <c r="A35" s="88" t="s">
        <v>164</v>
      </c>
      <c r="B35" s="89"/>
      <c r="C35" s="89"/>
      <c r="D35" s="89"/>
      <c r="E35" s="89"/>
      <c r="F35" s="89"/>
      <c r="G35" s="90" t="s">
        <v>165</v>
      </c>
      <c r="H35" s="91">
        <f>H33/H29</f>
        <v>0.29799885887159017</v>
      </c>
      <c r="I35" s="92" t="s">
        <v>166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 por conduccion</vt:lpstr>
      <vt:lpstr>Carga ineterna y de producto</vt:lpstr>
      <vt:lpstr>Carga  por filtracion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González Álvarez</dc:creator>
  <cp:lastModifiedBy>Spike</cp:lastModifiedBy>
  <dcterms:created xsi:type="dcterms:W3CDTF">2014-12-15T17:13:00Z</dcterms:created>
  <dcterms:modified xsi:type="dcterms:W3CDTF">2016-01-27T19:10:38Z</dcterms:modified>
</cp:coreProperties>
</file>